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s0177a\datashare\CTax Benefit\CTR data\Publication Files\CTR - Caseload and Expenditure - 2023-24\41. March 2024\March 24\"/>
    </mc:Choice>
  </mc:AlternateContent>
  <xr:revisionPtr revIDLastSave="0" documentId="13_ncr:1_{B58F4F74-35EE-418C-8D28-50C09A06E601}" xr6:coauthVersionLast="47" xr6:coauthVersionMax="47" xr10:uidLastSave="{00000000-0000-0000-0000-000000000000}"/>
  <bookViews>
    <workbookView xWindow="-110" yWindow="-110" windowWidth="19420" windowHeight="10420" tabRatio="725" xr2:uid="{00000000-000D-0000-FFFF-FFFF00000000}"/>
  </bookViews>
  <sheets>
    <sheet name="Contents" sheetId="29" r:id="rId1"/>
    <sheet name="Background" sheetId="31" r:id="rId2"/>
    <sheet name="Notes" sheetId="32" r:id="rId3"/>
    <sheet name="1. Local Authority Statistics" sheetId="26" r:id="rId4"/>
    <sheet name="2. Monthly Statistics" sheetId="28" r:id="rId5"/>
    <sheet name="3. Data - Recipients" sheetId="21" r:id="rId6"/>
    <sheet name="4. Data - Income Forgone" sheetId="25" r:id="rId7"/>
  </sheets>
  <externalReferences>
    <externalReference r:id="rId8"/>
    <externalReference r:id="rId9"/>
  </externalReferences>
  <definedNames>
    <definedName name="_xlnm._FilterDatabase" localSheetId="5" hidden="1">'3. Data - Recipients'!$A$4:$P$37</definedName>
    <definedName name="LAs" localSheetId="1">'[1]3. Data - Recipients'!$A$4:$A$36</definedName>
    <definedName name="LAs" localSheetId="0">'[2]3. Data - Recipients'!$A$4:$A$36</definedName>
    <definedName name="LAs">'3. Data - Recipients'!$A$5:$A$37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7" i="26" l="1"/>
  <c r="F6" i="26"/>
  <c r="D136" i="26" l="1"/>
  <c r="C136" i="26"/>
  <c r="D135" i="26" l="1"/>
  <c r="C135" i="26"/>
  <c r="D134" i="26" l="1"/>
  <c r="C134" i="26"/>
  <c r="D133" i="26" l="1"/>
  <c r="C133" i="26"/>
  <c r="D132" i="26" l="1"/>
  <c r="C132" i="26"/>
  <c r="D131" i="26" l="1"/>
  <c r="C131" i="26"/>
  <c r="D130" i="26"/>
  <c r="D129" i="26"/>
  <c r="C130" i="26"/>
  <c r="C129" i="26"/>
  <c r="D128" i="26" l="1"/>
  <c r="C128" i="26"/>
  <c r="D127" i="26"/>
  <c r="C127" i="26"/>
  <c r="D126" i="26" l="1"/>
  <c r="C126" i="26"/>
  <c r="D125" i="26"/>
  <c r="C125" i="26"/>
  <c r="D124" i="26" l="1"/>
  <c r="C124" i="26"/>
  <c r="D123" i="26" l="1"/>
  <c r="C123" i="26"/>
  <c r="C122" i="26" l="1"/>
  <c r="D122" i="26" l="1"/>
  <c r="B6" i="28" l="1"/>
  <c r="B8" i="28" l="1"/>
  <c r="D121" i="26"/>
  <c r="C121" i="26"/>
  <c r="D120" i="26" l="1"/>
  <c r="C120" i="26"/>
  <c r="D119" i="26" l="1"/>
  <c r="C119" i="26"/>
  <c r="D118" i="26" l="1"/>
  <c r="D117" i="26"/>
  <c r="D116" i="26"/>
  <c r="D115" i="26"/>
  <c r="C118" i="26"/>
  <c r="C117" i="26"/>
  <c r="C116" i="26"/>
  <c r="C115" i="26"/>
  <c r="D114" i="26" l="1"/>
  <c r="C114" i="26"/>
  <c r="D113" i="26" l="1"/>
  <c r="C113" i="26"/>
  <c r="D112" i="26" l="1"/>
  <c r="C112" i="26"/>
  <c r="D111" i="26" l="1"/>
  <c r="C111" i="26"/>
  <c r="D110" i="26" l="1"/>
  <c r="C110" i="26"/>
  <c r="D109" i="26" l="1"/>
  <c r="C109" i="26"/>
  <c r="D108" i="26" l="1"/>
  <c r="C108" i="26"/>
  <c r="C40" i="28" l="1"/>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D107" i="26"/>
  <c r="D106" i="26"/>
  <c r="D105" i="26"/>
  <c r="D104" i="26"/>
  <c r="D103" i="26"/>
  <c r="D102" i="26"/>
  <c r="D101" i="26"/>
  <c r="D100" i="26"/>
  <c r="D99" i="26"/>
  <c r="D98" i="26"/>
  <c r="D97" i="26"/>
  <c r="D96" i="26"/>
  <c r="D95" i="26"/>
  <c r="D94" i="26"/>
  <c r="D93" i="26"/>
  <c r="D92" i="26"/>
  <c r="D91" i="26"/>
  <c r="D90" i="26"/>
  <c r="D89" i="26"/>
  <c r="D88" i="26"/>
  <c r="D87" i="26"/>
  <c r="D86" i="26"/>
  <c r="D85" i="26"/>
  <c r="D84" i="26"/>
  <c r="D83" i="26"/>
  <c r="D82" i="26"/>
  <c r="D81" i="26"/>
  <c r="D80" i="26"/>
  <c r="D79" i="26"/>
  <c r="D78" i="26"/>
  <c r="D77" i="26"/>
  <c r="D76" i="26"/>
  <c r="D75" i="26"/>
  <c r="D74" i="26"/>
  <c r="D73" i="26"/>
  <c r="D72" i="26"/>
  <c r="D71" i="26"/>
  <c r="D70" i="26"/>
  <c r="D69" i="26"/>
  <c r="D68" i="26"/>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5" i="26"/>
  <c r="D16" i="26"/>
  <c r="D14" i="26"/>
  <c r="D13" i="26"/>
  <c r="D12" i="26"/>
  <c r="D11" i="26"/>
  <c r="D10" i="26"/>
  <c r="D9" i="26"/>
  <c r="D8" i="26"/>
  <c r="C107" i="26"/>
  <c r="C106" i="26"/>
  <c r="C105" i="26"/>
  <c r="C104" i="26"/>
  <c r="C103" i="26"/>
  <c r="C102" i="26"/>
  <c r="C101" i="26"/>
  <c r="C100" i="26"/>
  <c r="C99" i="26"/>
  <c r="C98" i="26"/>
  <c r="C97" i="26"/>
  <c r="C96" i="26"/>
  <c r="C95" i="26"/>
  <c r="C94" i="26"/>
  <c r="C93" i="26"/>
  <c r="C92" i="26"/>
  <c r="C91" i="26"/>
  <c r="C90" i="26"/>
  <c r="C89" i="26"/>
  <c r="C88" i="26"/>
  <c r="C87" i="26"/>
  <c r="C86" i="26"/>
  <c r="C85" i="26"/>
  <c r="C84" i="26"/>
  <c r="C83" i="26"/>
  <c r="C82" i="26"/>
  <c r="C81" i="26"/>
  <c r="C80" i="26"/>
  <c r="C79" i="26"/>
  <c r="C78" i="26"/>
  <c r="C77" i="26"/>
  <c r="C76" i="26"/>
  <c r="C75" i="26"/>
  <c r="C74" i="26"/>
  <c r="C73" i="26"/>
  <c r="C72" i="26"/>
  <c r="C71" i="26"/>
  <c r="C70" i="26"/>
  <c r="C69" i="26"/>
  <c r="C68" i="26"/>
  <c r="C67" i="26"/>
  <c r="C66" i="26"/>
  <c r="C65" i="26"/>
  <c r="C64" i="26"/>
  <c r="C63" i="26"/>
  <c r="C62" i="26"/>
  <c r="C61" i="26"/>
  <c r="C60" i="26"/>
  <c r="C59" i="26"/>
  <c r="C58" i="26"/>
  <c r="C57" i="26"/>
  <c r="C56" i="26"/>
  <c r="C55" i="26"/>
  <c r="C54" i="26"/>
  <c r="C53" i="26"/>
  <c r="C52" i="26"/>
  <c r="C51" i="26"/>
  <c r="C50" i="26"/>
  <c r="C49" i="26"/>
  <c r="C48" i="26"/>
  <c r="C47" i="26"/>
  <c r="C46" i="26"/>
  <c r="C45" i="26"/>
  <c r="C44" i="26"/>
  <c r="C43" i="26"/>
  <c r="C42" i="26"/>
  <c r="C41" i="26"/>
  <c r="C40" i="26"/>
  <c r="C39" i="26"/>
  <c r="C38" i="26"/>
  <c r="C37" i="26"/>
  <c r="C36" i="26"/>
  <c r="C35" i="26"/>
  <c r="C34" i="26"/>
  <c r="C33" i="26"/>
  <c r="C32" i="26"/>
  <c r="C31" i="26"/>
  <c r="C30" i="26"/>
  <c r="C29" i="26"/>
  <c r="C28" i="26"/>
  <c r="C27" i="26"/>
  <c r="C26" i="26"/>
  <c r="C25" i="26"/>
  <c r="C24" i="26"/>
  <c r="C23" i="26"/>
  <c r="C22" i="26"/>
  <c r="C21" i="26"/>
  <c r="C20" i="26"/>
  <c r="C19" i="26"/>
  <c r="C18" i="26"/>
  <c r="C17" i="26"/>
  <c r="C16" i="26"/>
  <c r="C15" i="26"/>
  <c r="C14" i="26"/>
  <c r="C13" i="26"/>
  <c r="C12" i="26"/>
  <c r="C11" i="26"/>
  <c r="C10" i="26"/>
  <c r="C9" i="26"/>
  <c r="C8" i="26"/>
  <c r="G9" i="26" l="1"/>
  <c r="H9" i="26" s="1"/>
  <c r="G8" i="26"/>
  <c r="H8" i="26" s="1"/>
  <c r="BS37" i="25"/>
  <c r="BS36" i="25"/>
  <c r="BS35" i="25"/>
  <c r="BS34" i="25"/>
  <c r="BS33" i="25"/>
  <c r="BS32" i="25"/>
  <c r="BS31" i="25"/>
  <c r="BS30" i="25"/>
  <c r="BS29" i="25"/>
  <c r="BS28" i="25"/>
  <c r="BS27" i="25"/>
  <c r="BS26" i="25"/>
  <c r="BS24" i="25"/>
  <c r="BS23" i="25"/>
  <c r="BS22" i="25"/>
  <c r="BS21" i="25"/>
  <c r="BS20" i="25"/>
  <c r="BS19" i="25"/>
  <c r="BS18" i="25"/>
  <c r="BS25" i="25"/>
  <c r="BS10" i="25"/>
  <c r="BS17" i="25"/>
  <c r="BS16" i="25"/>
  <c r="BS15" i="25"/>
  <c r="BS14" i="25"/>
  <c r="BS13" i="25"/>
  <c r="BS12" i="25"/>
  <c r="BS11" i="25"/>
  <c r="BS9" i="25"/>
  <c r="BS8" i="25"/>
  <c r="BS7" i="25"/>
  <c r="BS6" i="25"/>
  <c r="B6" i="26"/>
</calcChain>
</file>

<file path=xl/sharedStrings.xml><?xml version="1.0" encoding="utf-8"?>
<sst xmlns="http://schemas.openxmlformats.org/spreadsheetml/2006/main" count="244" uniqueCount="127">
  <si>
    <t>SCOTLAND</t>
  </si>
  <si>
    <t>Aberdeen City</t>
  </si>
  <si>
    <t>Aberdeenshire</t>
  </si>
  <si>
    <t>Angus</t>
  </si>
  <si>
    <t>Argyll and Bute</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</si>
  <si>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</si>
  <si>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</si>
  <si>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</si>
  <si>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</si>
  <si>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</si>
  <si>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</si>
  <si>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</si>
  <si>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</si>
  <si>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</si>
  <si>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</si>
  <si>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</si>
  <si>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</si>
  <si>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</si>
  <si>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</si>
  <si>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</si>
  <si>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</si>
  <si>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</si>
  <si>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</si>
  <si>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</si>
  <si>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</si>
  <si>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</si>
  <si>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</si>
  <si>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</si>
  <si>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</si>
  <si>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</si>
  <si>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</si>
  <si>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No. of CTR recipients</t>
  </si>
  <si>
    <t xml:space="preserve">Choose local authority: </t>
  </si>
  <si>
    <t>No. of CTR 
recipients</t>
  </si>
  <si>
    <t>Percentage
Change</t>
  </si>
  <si>
    <t>Number
Change</t>
  </si>
  <si>
    <t xml:space="preserve">Choose month: </t>
  </si>
  <si>
    <t>Local Authority</t>
  </si>
  <si>
    <t>CTR data table for</t>
  </si>
  <si>
    <t>City of Edinburgh</t>
  </si>
  <si>
    <t>Na h-Eileanan Siar</t>
  </si>
  <si>
    <t>CTR Weekly 
income forgone 
(£'000s)</t>
  </si>
  <si>
    <t>CTR weekly income forgone est. (£'000s)</t>
  </si>
  <si>
    <t>CTR Weekly 
income forgone 
est. (£'000s)</t>
  </si>
  <si>
    <t>Financial Year</t>
  </si>
  <si>
    <t>2013-14</t>
  </si>
  <si>
    <t>2014-15</t>
  </si>
  <si>
    <t>2015-16</t>
  </si>
  <si>
    <t>2016-17</t>
  </si>
  <si>
    <t>2017-18</t>
  </si>
  <si>
    <t>2018-19</t>
  </si>
  <si>
    <t>2019-20</t>
  </si>
  <si>
    <t>Apr</t>
  </si>
  <si>
    <t>Jun</t>
  </si>
  <si>
    <t>Sept</t>
  </si>
  <si>
    <t>Dec</t>
  </si>
  <si>
    <t>Mar</t>
  </si>
  <si>
    <t>Month
(Apr to Mar)</t>
  </si>
  <si>
    <t>Contents</t>
  </si>
  <si>
    <t>3. Data - Recipients</t>
  </si>
  <si>
    <t>Notes</t>
  </si>
  <si>
    <t>Enquiries on this publication should be addressed to:</t>
  </si>
  <si>
    <t>&lt;=== Select here</t>
  </si>
  <si>
    <t>www.gov.scot/publications/council-tax-reduction</t>
  </si>
  <si>
    <t>2020-21</t>
  </si>
  <si>
    <t xml:space="preserve">An Official Statistics publication for Scotland </t>
  </si>
  <si>
    <t>Return to Contents</t>
  </si>
  <si>
    <t>From 1 April 2013, Council Tax Benefit (CTB), which was run by the Department for Work and Pensions (DWP) was abolished and replaced by the Scottish Government’s Council Tax Reduction (CTR) Scheme.</t>
  </si>
  <si>
    <t>Since then, the Scottish Government have asked all Local Authorities (LAs) to provide individual record level extracts on a monthly basis, similar to the Single Housing Benefit Extract (SHBE) they previously provided to DWP.</t>
  </si>
  <si>
    <t>This information enables monitoring of the CTR scheme, in terms of the numbers and characteristics of recipients and their awards. Statistics on CTR can be found below:</t>
  </si>
  <si>
    <t>http://www.gov.scot/collections/local-government-finance-statistics/#counciltaxreduction</t>
  </si>
  <si>
    <t>Scheme was first introduced. The last published quarterly Council Tax Reduction in Scotland statistics bulletin on 8 September 2020 covering the period April to June 2020 can be found below:</t>
  </si>
  <si>
    <t>https://www.gov.scot/publications/council-tax-reduction-scotland-april-june-2020/</t>
  </si>
  <si>
    <t>Data Definitions</t>
  </si>
  <si>
    <t>A CTR ‘recipient’ can be a single person or a couple, with or without children, since Council Tax is charged on a per-dwelling basis, rather than to individuals.</t>
  </si>
  <si>
    <t>Recipients are as at monthly count date. See Methodology notes section 2 for more details:</t>
  </si>
  <si>
    <t xml:space="preserve">Weekly income forgone estimates are based on 'number of recipients multiplied by average weekly reduction' for each local authority and benefit type for the given month. </t>
  </si>
  <si>
    <t>Data Sources</t>
  </si>
  <si>
    <t>The Scottish Government collects data from all 32 local authorities on CTR caseload each month (including data on the number of recipients and amounts awarded) to monitor the caseload and expenditure of the CTR scheme.</t>
  </si>
  <si>
    <t>Data Interpretation</t>
  </si>
  <si>
    <t>The figures reported should be viewed in light of the following factors when looking at the trends in CTR data:</t>
  </si>
  <si>
    <t>- The end of the Council Tax "freeze" and Council Tax increases in April annually since 2017 as well as policy changes which took effect on 1 April 2017.</t>
  </si>
  <si>
    <t>- The introduction of Universal Credit (UC) and the effects of which are described in Chart 9 of Section 3.1 of the Council Tax Reduction in Scotland 2019-20 bulletin. See bulletin below for more details:</t>
  </si>
  <si>
    <r>
      <rPr>
        <sz val="10"/>
        <color theme="10"/>
        <rFont val="Arial"/>
        <family val="2"/>
      </rPr>
      <t xml:space="preserve">  </t>
    </r>
    <r>
      <rPr>
        <u/>
        <sz val="10"/>
        <color theme="10"/>
        <rFont val="Arial"/>
        <family val="2"/>
      </rPr>
      <t>https://www.gov.scot/publications/council-tax-reduction-scotland-2019-20</t>
    </r>
  </si>
  <si>
    <t>- The wider impacts of the Coronavirus (Covid-19) pandemic in March 2020 which began to affect the CTR figures. See Council Tax Reduction in Scotland, April to June 2020 bulletin for more details:</t>
  </si>
  <si>
    <r>
      <rPr>
        <sz val="10"/>
        <color theme="10"/>
        <rFont val="Arial"/>
        <family val="2"/>
      </rPr>
      <t xml:space="preserve">  </t>
    </r>
    <r>
      <rPr>
        <u/>
        <sz val="10"/>
        <color theme="10"/>
        <rFont val="Arial"/>
        <family val="2"/>
      </rPr>
      <t>https://www.gov.scot/publications/council-tax-reduction-scotland-april-june-2020/</t>
    </r>
  </si>
  <si>
    <t>Related publications</t>
  </si>
  <si>
    <t xml:space="preserve">A wide range of council tax publications including average council tax by band, number of chargeable dwellings, and Band D averages, council tax assumptions, council tax receipts and returns
</t>
  </si>
  <si>
    <t>https://www.gov.scot/collections/local-government-finance-statistics/#counciltax</t>
  </si>
  <si>
    <t>Latest Month</t>
  </si>
  <si>
    <t>This monthly release (first published on 13 October 2020) contains the tables that have replaced the quarterly Council Tax Reduction in Scotland statistics bulletin with a time series from April 2013, when the Council Tax Reduction</t>
  </si>
  <si>
    <t>As CTR extracts are received towards the middle/end of each month, and the following month’s data is required to finalise the previous month's data, release of monthly tables takes place two months after the initial data is received.</t>
  </si>
  <si>
    <t>1. Local Authority: Recipients and Income Forgone by Local Authorities</t>
  </si>
  <si>
    <t>2. Monthly: Recipients and Income Forgone by Month</t>
  </si>
  <si>
    <t>4. Data - Income Forgone</t>
  </si>
  <si>
    <t>2021-22</t>
  </si>
  <si>
    <t>This worksheet contains one table and two charts.</t>
  </si>
  <si>
    <t>This worksheet contains one table</t>
  </si>
  <si>
    <t>Finalised publication dates will be made available via the Official Forthcoming Publications webpage.</t>
  </si>
  <si>
    <t>http://www.gov.scot/publications/official-statistics-forthcoming-publications/</t>
  </si>
  <si>
    <t>Worksheet 1: Local Authority Statistics</t>
  </si>
  <si>
    <t>Worksheet 2: Monthly Statistics</t>
  </si>
  <si>
    <t>Background</t>
  </si>
  <si>
    <t xml:space="preserve">Figures are rounded to the nearest 10. Components may not sum to total due to rounding. </t>
  </si>
  <si>
    <t xml:space="preserve">Figures are rounded to the nearest £100. Components may not sum to total due to rounding. </t>
  </si>
  <si>
    <t xml:space="preserve">Note Number </t>
  </si>
  <si>
    <t xml:space="preserve">Note Text </t>
  </si>
  <si>
    <t>Note 1</t>
  </si>
  <si>
    <t>Note 2</t>
  </si>
  <si>
    <t>Note 3</t>
  </si>
  <si>
    <t>Note 4</t>
  </si>
  <si>
    <t xml:space="preserve">Recipients are as at monthly count date. See Methodology notes section 2 for more details: </t>
  </si>
  <si>
    <t>The monthly changes since the peak in August 2020 have mostly been small, relative to the size of the total number of CTR recipients.</t>
  </si>
  <si>
    <t>2022-23</t>
  </si>
  <si>
    <t>This worksheet contains two tables.</t>
  </si>
  <si>
    <t>2023-24</t>
  </si>
  <si>
    <t>Emma Howat</t>
  </si>
  <si>
    <t>Email: Emma.Howat@gov.scot</t>
  </si>
  <si>
    <t>Note 5</t>
  </si>
  <si>
    <t>Due to a cyber attack in late 2023, Na h-Eileanan Siar have been unable to provide CTR extracts from December 2023 onwards. Therefore, reported figures for this month and onwards are based on their latest available extract</t>
  </si>
  <si>
    <t xml:space="preserve">The annual compendium was published on 28 June 2023 and includes detailed information on CTR recipients and their characteristics. </t>
  </si>
  <si>
    <t>Note: Due to a cyber attack in late 2023, Na h-Eileanan Siar have been unable to provide CTR extracts from December 2023 onwards. Therefore, reported figures for this month and onwards are based on their latest available extract.</t>
  </si>
  <si>
    <t>Council Tax Reduction in Scotland: Recipients and Income Forgone Tables (April 13 to January 24)</t>
  </si>
  <si>
    <t>Worksheet 3: Council Tax Reduction recipients by Local Authority: April 2013 - January 2024 [Note 1 &amp; 2]</t>
  </si>
  <si>
    <t>Worksheet 4: Council Tax Reduction (CTR) - Weekly income forgone by LAs estimate (£'000s) by local authority, April 2013 - January 2024 [Note 1, 3 &amp; 4 ]</t>
  </si>
  <si>
    <r>
      <t xml:space="preserve">The number of CTR recipients is </t>
    </r>
    <r>
      <rPr>
        <sz val="10"/>
        <color theme="1" tint="4.9989318521683403E-2"/>
        <rFont val="Arial"/>
        <family val="2"/>
      </rPr>
      <t>458,220</t>
    </r>
    <r>
      <rPr>
        <sz val="10"/>
        <rFont val="Arial"/>
        <family val="2"/>
      </rPr>
      <t xml:space="preserve"> in January 2024. This is a </t>
    </r>
    <r>
      <rPr>
        <sz val="10"/>
        <color theme="1"/>
        <rFont val="Arial"/>
        <family val="2"/>
      </rPr>
      <t>decrease</t>
    </r>
    <r>
      <rPr>
        <sz val="10"/>
        <rFont val="Arial"/>
        <family val="2"/>
      </rPr>
      <t xml:space="preserve"> from the </t>
    </r>
    <r>
      <rPr>
        <sz val="10"/>
        <color theme="1" tint="4.9989318521683403E-2"/>
        <rFont val="Arial"/>
        <family val="2"/>
      </rPr>
      <t>December</t>
    </r>
    <r>
      <rPr>
        <sz val="10"/>
        <color rgb="FFFF0000"/>
        <rFont val="Arial"/>
        <family val="2"/>
      </rPr>
      <t xml:space="preserve"> </t>
    </r>
    <r>
      <rPr>
        <sz val="10"/>
        <color theme="1" tint="4.9989318521683403E-2"/>
        <rFont val="Arial"/>
        <family val="2"/>
      </rPr>
      <t>2023</t>
    </r>
    <r>
      <rPr>
        <sz val="10"/>
        <rFont val="Arial"/>
        <family val="2"/>
      </rPr>
      <t xml:space="preserve"> figure (</t>
    </r>
    <r>
      <rPr>
        <sz val="10"/>
        <color theme="1" tint="4.9989318521683403E-2"/>
        <rFont val="Arial"/>
        <family val="2"/>
      </rPr>
      <t>460,830</t>
    </r>
    <r>
      <rPr>
        <sz val="10"/>
        <rFont val="Arial"/>
        <family val="2"/>
      </rPr>
      <t>).</t>
    </r>
  </si>
  <si>
    <r>
      <t xml:space="preserve">The number of CTR </t>
    </r>
    <r>
      <rPr>
        <sz val="10"/>
        <color theme="1" tint="4.9989318521683403E-2"/>
        <rFont val="Arial"/>
        <family val="2"/>
      </rPr>
      <t>recipients</t>
    </r>
    <r>
      <rPr>
        <sz val="10"/>
        <color theme="1"/>
        <rFont val="Arial"/>
        <family val="2"/>
      </rPr>
      <t xml:space="preserve"> has </t>
    </r>
    <r>
      <rPr>
        <sz val="10"/>
        <color rgb="FFFF0000"/>
        <rFont val="Arial"/>
        <family val="2"/>
      </rPr>
      <t>decreased</t>
    </r>
    <r>
      <rPr>
        <sz val="10"/>
        <color theme="1"/>
        <rFont val="Arial"/>
        <family val="2"/>
      </rPr>
      <t xml:space="preserve"> this month </t>
    </r>
    <r>
      <rPr>
        <sz val="10"/>
        <color rgb="FFFF0000"/>
        <rFont val="Arial"/>
        <family val="2"/>
      </rPr>
      <t>but</t>
    </r>
    <r>
      <rPr>
        <sz val="10"/>
        <color theme="1"/>
        <rFont val="Arial"/>
        <family val="2"/>
      </rPr>
      <t xml:space="preserve"> is still above the record low (454,180) recorded in December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</si>
</sst>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_-;\-* #,##0_-;_-* &quot;-&quot;??_-;_-@_-"/>
    <numFmt numFmtId="165" formatCode="0.0%"/>
    <numFmt numFmtId="166" formatCode="_-* #,##0.0_-;\-* #,##0.0_-;_-* &quot;-&quot;??_-;_-@_-"/>
    <numFmt numFmtId="167" formatCode="#,##0.0"/>
    <numFmt numFmtId="168" formatCode="0.0"/>
  </numFmts>
  <fonts count="29" x14ac:knownFonts="1">
    <font>
      <sz val="10"/>
      <color theme="1"/>
      <name val="Arial"/>
      <family val="2"/>
    </font>
    <font>
      <b/>
      <sz val="10"/>
      <color theme="1"/>
      <name val="Arial"/>
      <family val="2"/>
    </font>
    <font>
      <sz val="10"/>
      <color theme="1"/>
      <name val="Arial"/>
      <family val="2"/>
    </font>
    <font>
      <sz val="11"/>
      <color theme="1"/>
      <name val="Calibri"/>
      <family val="2"/>
      <scheme val="minor"/>
    </font>
    <font>
      <b/>
      <sz val="12"/>
      <color theme="1"/>
      <name val="Arial"/>
      <family val="2"/>
    </font>
    <font>
      <b/>
      <sz val="14"/>
      <color theme="1"/>
      <name val="Arial"/>
      <family val="2"/>
    </font>
    <font>
      <u/>
      <sz val="10"/>
      <color theme="10"/>
      <name val="Arial"/>
      <family val="2"/>
    </font>
    <font>
      <b/>
      <sz val="10"/>
      <color rgb="FF000000"/>
      <name val="Arial"/>
      <family val="2"/>
    </font>
    <font>
      <b/>
      <sz val="11"/>
      <color theme="1"/>
      <name val="Arial"/>
      <family val="2"/>
    </font>
    <font>
      <sz val="11"/>
      <color theme="1"/>
      <name val="Arial"/>
      <family val="2"/>
    </font>
    <font>
      <sz val="10"/>
      <color theme="0"/>
      <name val="Arial"/>
      <family val="2"/>
    </font>
    <font>
      <b/>
      <sz val="13"/>
      <color rgb="FF000000"/>
      <name val="Verdana"/>
      <family val="2"/>
    </font>
    <font>
      <sz val="10"/>
      <color rgb="FFFF0000"/>
      <name val="Arial"/>
      <family val="2"/>
    </font>
    <font>
      <b/>
      <sz val="10"/>
      <color rgb="FFFF0000"/>
      <name val="Arial"/>
      <family val="2"/>
    </font>
    <font>
      <sz val="10"/>
      <name val="Arial"/>
      <family val="2"/>
    </font>
    <font>
      <b/>
      <sz val="12"/>
      <name val="Arial"/>
      <family val="2"/>
    </font>
    <font>
      <sz val="10"/>
      <color theme="10"/>
      <name val="Arial"/>
      <family val="2"/>
    </font>
    <font>
      <sz val="8"/>
      <color theme="1"/>
      <name val="Times New Roman"/>
      <family val="1"/>
    </font>
    <font>
      <sz val="10"/>
      <color rgb="FF00B050"/>
      <name val="Arial"/>
      <family val="2"/>
    </font>
    <font>
      <sz val="12"/>
      <color theme="1"/>
      <name val="Arial"/>
      <family val="2"/>
    </font>
    <font>
      <sz val="12"/>
      <name val="Arial"/>
      <family val="2"/>
    </font>
    <font>
      <u/>
      <sz val="12"/>
      <color theme="10"/>
      <name val="Arial"/>
      <family val="2"/>
    </font>
    <font>
      <b/>
      <sz val="12"/>
      <color theme="0"/>
      <name val="Arial"/>
      <family val="2"/>
    </font>
    <font>
      <b/>
      <sz val="12"/>
      <color rgb="FFFFFFFF"/>
      <name val="Arial"/>
      <family val="2"/>
    </font>
    <font>
      <b/>
      <sz val="12"/>
      <color rgb="FF000000"/>
      <name val="Arial"/>
      <family val="2"/>
    </font>
    <font>
      <sz val="12"/>
      <color rgb="FF000000"/>
      <name val="Arial"/>
      <family val="2"/>
    </font>
    <font>
      <b/>
      <sz val="11"/>
      <color rgb="FF000000"/>
      <name val="Arial"/>
      <family val="2"/>
    </font>
    <font>
      <sz val="10"/>
      <color theme="1" tint="4.9989318521683403E-2"/>
      <name val="Arial"/>
      <family val="2"/>
    </font>
    <font>
      <sz val="12"/>
      <color theme="1" tint="4.9989318521683403E-2"/>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DCE6F1"/>
        <bgColor rgb="FF000000"/>
      </patternFill>
    </fill>
    <fill>
      <patternFill patternType="solid">
        <fgColor rgb="FF16365C"/>
        <bgColor rgb="FF000000"/>
      </patternFill>
    </fill>
    <fill>
      <patternFill patternType="solid">
        <fgColor theme="4" tint="0.79998168889431442"/>
        <bgColor rgb="FF000000"/>
      </patternFill>
    </fill>
    <fill>
      <patternFill patternType="solid">
        <fgColor theme="3" tint="-0.249977111117893"/>
        <bgColor indexed="64"/>
      </patternFill>
    </fill>
  </fills>
  <borders count="17">
    <border>
      <left/>
      <right/>
      <top/>
      <bottom/>
      <diagonal/>
    </border>
    <border>
      <left/>
      <right/>
      <top/>
      <bottom style="medium">
        <color theme="4" tint="-0.499984740745262"/>
      </bottom>
      <diagonal/>
    </border>
    <border>
      <left/>
      <right/>
      <top/>
      <bottom style="medium">
        <color rgb="FF2440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6" fillId="0" borderId="0" applyNumberFormat="0" applyFill="0" applyBorder="0" applyAlignment="0" applyProtection="0"/>
    <xf numFmtId="9" fontId="3" fillId="0" borderId="0" applyFont="0" applyFill="0" applyBorder="0" applyAlignment="0" applyProtection="0"/>
  </cellStyleXfs>
  <cellXfs count="157">
    <xf numFmtId="0" fontId="0" fillId="0" borderId="0" xfId="0"/>
    <xf numFmtId="0" fontId="0" fillId="3" borderId="0" xfId="0" applyFill="1"/>
    <xf numFmtId="164" fontId="0" fillId="3" borderId="0" xfId="0" applyNumberFormat="1" applyFill="1"/>
    <xf numFmtId="0" fontId="6" fillId="3" borderId="0" xfId="5" applyFill="1" applyBorder="1"/>
    <xf numFmtId="0" fontId="0" fillId="3" borderId="0" xfId="0" applyFill="1" applyAlignment="1">
      <alignment horizontal="left" vertical="top"/>
    </xf>
    <xf numFmtId="17" fontId="1" fillId="3" borderId="0" xfId="0" quotePrefix="1" applyNumberFormat="1" applyFont="1" applyFill="1" applyAlignment="1">
      <alignment horizontal="right" wrapText="1"/>
    </xf>
    <xf numFmtId="0" fontId="7" fillId="3" borderId="0" xfId="0" applyFont="1" applyFill="1" applyAlignment="1">
      <alignment vertical="top"/>
    </xf>
    <xf numFmtId="0" fontId="1"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0" fontId="5" fillId="3" borderId="0" xfId="0" applyFont="1" applyFill="1"/>
    <xf numFmtId="0" fontId="4" fillId="2" borderId="0" xfId="0" applyFont="1" applyFill="1"/>
    <xf numFmtId="0" fontId="9" fillId="3" borderId="0" xfId="0" applyFont="1" applyFill="1" applyAlignment="1">
      <alignment wrapText="1"/>
    </xf>
    <xf numFmtId="0" fontId="4" fillId="2" borderId="0" xfId="0" applyFont="1" applyFill="1" applyAlignment="1">
      <alignment horizontal="right"/>
    </xf>
    <xf numFmtId="0" fontId="10" fillId="3" borderId="0" xfId="0" applyFont="1" applyFill="1"/>
    <xf numFmtId="0" fontId="11" fillId="0" borderId="0" xfId="0" applyFont="1"/>
    <xf numFmtId="3" fontId="0" fillId="3" borderId="0" xfId="0" applyNumberFormat="1" applyFill="1"/>
    <xf numFmtId="17" fontId="4" fillId="2" borderId="0" xfId="0" applyNumberFormat="1" applyFont="1" applyFill="1"/>
    <xf numFmtId="0" fontId="12" fillId="3" borderId="0" xfId="0" applyFont="1" applyFill="1"/>
    <xf numFmtId="0" fontId="13" fillId="3" borderId="0" xfId="0" applyFont="1" applyFill="1"/>
    <xf numFmtId="0" fontId="1" fillId="3" borderId="0" xfId="0" applyFont="1" applyFill="1"/>
    <xf numFmtId="0" fontId="6" fillId="3" borderId="0" xfId="5" quotePrefix="1" applyFill="1"/>
    <xf numFmtId="0" fontId="6" fillId="3" borderId="0" xfId="5" applyFill="1"/>
    <xf numFmtId="0" fontId="4" fillId="3" borderId="0" xfId="0" applyFont="1" applyFill="1"/>
    <xf numFmtId="0" fontId="7" fillId="0" borderId="0" xfId="0" applyFont="1"/>
    <xf numFmtId="0" fontId="6" fillId="0" borderId="0" xfId="5"/>
    <xf numFmtId="0" fontId="15" fillId="3" borderId="0" xfId="5" applyFont="1" applyFill="1"/>
    <xf numFmtId="0" fontId="14" fillId="3" borderId="0" xfId="5" applyFont="1" applyFill="1"/>
    <xf numFmtId="0" fontId="0" fillId="3" borderId="0" xfId="0" quotePrefix="1" applyFill="1"/>
    <xf numFmtId="0" fontId="15" fillId="3" borderId="0" xfId="0" applyFont="1" applyFill="1"/>
    <xf numFmtId="0" fontId="14" fillId="3" borderId="0" xfId="0" applyFont="1" applyFill="1"/>
    <xf numFmtId="0" fontId="8" fillId="0" borderId="0" xfId="0" applyFont="1" applyAlignment="1">
      <alignment vertical="center"/>
    </xf>
    <xf numFmtId="0" fontId="18" fillId="3" borderId="0" xfId="0" applyFont="1" applyFill="1" applyAlignment="1">
      <alignment vertical="center"/>
    </xf>
    <xf numFmtId="165" fontId="0" fillId="3" borderId="0" xfId="2" applyNumberFormat="1" applyFont="1" applyFill="1"/>
    <xf numFmtId="0" fontId="17" fillId="3" borderId="0" xfId="0" applyFont="1" applyFill="1" applyAlignment="1">
      <alignment horizontal="justify" vertical="center"/>
    </xf>
    <xf numFmtId="0" fontId="4" fillId="3" borderId="13" xfId="0" applyFont="1" applyFill="1" applyBorder="1" applyAlignment="1">
      <alignment vertical="center"/>
    </xf>
    <xf numFmtId="0" fontId="19" fillId="3" borderId="13" xfId="0" applyFont="1" applyFill="1" applyBorder="1" applyAlignment="1">
      <alignment vertical="center" wrapText="1"/>
    </xf>
    <xf numFmtId="0" fontId="19" fillId="3" borderId="11" xfId="0" applyFont="1" applyFill="1" applyBorder="1" applyAlignment="1">
      <alignment vertical="center" wrapText="1"/>
    </xf>
    <xf numFmtId="0" fontId="19" fillId="3" borderId="12" xfId="0" applyFont="1" applyFill="1" applyBorder="1" applyAlignment="1">
      <alignment wrapText="1"/>
    </xf>
    <xf numFmtId="0" fontId="4" fillId="3" borderId="13" xfId="0" applyFont="1" applyFill="1" applyBorder="1" applyAlignment="1">
      <alignment vertical="center" wrapText="1"/>
    </xf>
    <xf numFmtId="0" fontId="4" fillId="3" borderId="13" xfId="0" applyFont="1" applyFill="1" applyBorder="1" applyAlignment="1">
      <alignment horizontal="right" vertical="center" wrapText="1"/>
    </xf>
    <xf numFmtId="17" fontId="19" fillId="3" borderId="13" xfId="0" quotePrefix="1" applyNumberFormat="1" applyFont="1" applyFill="1" applyBorder="1" applyAlignment="1">
      <alignment horizontal="right" vertical="center"/>
    </xf>
    <xf numFmtId="0" fontId="4" fillId="3" borderId="11" xfId="0" applyFont="1" applyFill="1" applyBorder="1" applyAlignment="1">
      <alignment vertical="center"/>
    </xf>
    <xf numFmtId="0" fontId="4" fillId="3" borderId="12" xfId="0" applyFont="1" applyFill="1" applyBorder="1" applyAlignment="1">
      <alignment horizontal="right" vertical="center" wrapText="1"/>
    </xf>
    <xf numFmtId="0" fontId="19" fillId="3" borderId="4" xfId="0" applyFont="1" applyFill="1" applyBorder="1"/>
    <xf numFmtId="17" fontId="19" fillId="3" borderId="5" xfId="0" quotePrefix="1" applyNumberFormat="1" applyFont="1" applyFill="1" applyBorder="1" applyAlignment="1">
      <alignment vertical="center"/>
    </xf>
    <xf numFmtId="3" fontId="19" fillId="3" borderId="5" xfId="0" applyNumberFormat="1" applyFont="1" applyFill="1" applyBorder="1" applyAlignment="1">
      <alignment vertical="center"/>
    </xf>
    <xf numFmtId="0" fontId="19" fillId="3" borderId="6" xfId="0" applyFont="1" applyFill="1" applyBorder="1"/>
    <xf numFmtId="17" fontId="19" fillId="3" borderId="0" xfId="0" quotePrefix="1" applyNumberFormat="1" applyFont="1" applyFill="1" applyAlignment="1">
      <alignment vertical="center"/>
    </xf>
    <xf numFmtId="3" fontId="19" fillId="3" borderId="0" xfId="0" applyNumberFormat="1" applyFont="1" applyFill="1" applyAlignment="1">
      <alignment vertical="center"/>
    </xf>
    <xf numFmtId="0" fontId="19" fillId="3" borderId="0" xfId="0" applyFont="1" applyFill="1" applyAlignment="1">
      <alignment vertical="center" wrapText="1"/>
    </xf>
    <xf numFmtId="0" fontId="19" fillId="3" borderId="0" xfId="0" applyFont="1" applyFill="1" applyAlignment="1">
      <alignment vertical="center"/>
    </xf>
    <xf numFmtId="0" fontId="19" fillId="3" borderId="8" xfId="0" applyFont="1" applyFill="1" applyBorder="1"/>
    <xf numFmtId="0" fontId="19" fillId="3" borderId="9" xfId="0" applyFont="1" applyFill="1" applyBorder="1" applyAlignment="1">
      <alignment vertical="center"/>
    </xf>
    <xf numFmtId="3" fontId="19" fillId="3" borderId="9" xfId="0" applyNumberFormat="1" applyFont="1" applyFill="1" applyBorder="1" applyAlignment="1">
      <alignment vertical="center"/>
    </xf>
    <xf numFmtId="0" fontId="19" fillId="3" borderId="0" xfId="0" applyFont="1" applyFill="1"/>
    <xf numFmtId="0" fontId="19" fillId="3" borderId="9" xfId="0" applyFont="1" applyFill="1" applyBorder="1"/>
    <xf numFmtId="0" fontId="19" fillId="3" borderId="0" xfId="0" applyFont="1" applyFill="1" applyAlignment="1">
      <alignment wrapText="1"/>
    </xf>
    <xf numFmtId="0" fontId="21" fillId="3" borderId="0" xfId="5" applyFont="1" applyFill="1"/>
    <xf numFmtId="17" fontId="23" fillId="8" borderId="0" xfId="0" applyNumberFormat="1" applyFont="1" applyFill="1" applyAlignment="1">
      <alignment horizontal="right" vertical="center"/>
    </xf>
    <xf numFmtId="17" fontId="23" fillId="8" borderId="0" xfId="0" applyNumberFormat="1" applyFont="1" applyFill="1" applyAlignment="1">
      <alignment vertical="center"/>
    </xf>
    <xf numFmtId="164" fontId="4" fillId="3" borderId="0" xfId="1" applyNumberFormat="1" applyFont="1" applyFill="1" applyBorder="1" applyAlignment="1">
      <alignment vertical="center"/>
    </xf>
    <xf numFmtId="164" fontId="4" fillId="3" borderId="0" xfId="1" applyNumberFormat="1" applyFont="1" applyFill="1" applyBorder="1" applyAlignment="1">
      <alignment horizontal="right" vertical="center"/>
    </xf>
    <xf numFmtId="164" fontId="4" fillId="3" borderId="0" xfId="0" applyNumberFormat="1" applyFont="1" applyFill="1" applyAlignment="1">
      <alignment vertical="center"/>
    </xf>
    <xf numFmtId="164" fontId="24" fillId="6" borderId="0" xfId="0" applyNumberFormat="1" applyFont="1" applyFill="1" applyAlignment="1">
      <alignment vertical="center"/>
    </xf>
    <xf numFmtId="164" fontId="24" fillId="3" borderId="0" xfId="1" applyNumberFormat="1" applyFont="1" applyFill="1" applyBorder="1" applyAlignment="1">
      <alignment horizontal="center" vertical="center" wrapText="1"/>
    </xf>
    <xf numFmtId="0" fontId="19" fillId="5" borderId="0" xfId="0" applyFont="1" applyFill="1" applyAlignment="1">
      <alignment vertical="center"/>
    </xf>
    <xf numFmtId="164" fontId="19" fillId="5" borderId="0" xfId="1" applyNumberFormat="1" applyFont="1" applyFill="1" applyBorder="1" applyAlignment="1">
      <alignment vertical="center"/>
    </xf>
    <xf numFmtId="164" fontId="19" fillId="5" borderId="0" xfId="0" applyNumberFormat="1" applyFont="1" applyFill="1" applyAlignment="1">
      <alignment vertical="center"/>
    </xf>
    <xf numFmtId="164" fontId="25" fillId="7" borderId="0" xfId="0" applyNumberFormat="1" applyFont="1" applyFill="1" applyAlignment="1">
      <alignment vertical="center"/>
    </xf>
    <xf numFmtId="164" fontId="25" fillId="9" borderId="0" xfId="0" applyNumberFormat="1" applyFont="1" applyFill="1" applyAlignment="1">
      <alignment vertical="center"/>
    </xf>
    <xf numFmtId="164" fontId="25" fillId="5" borderId="0" xfId="1" applyNumberFormat="1" applyFont="1" applyFill="1" applyBorder="1" applyAlignment="1">
      <alignment vertical="top" wrapText="1"/>
    </xf>
    <xf numFmtId="164" fontId="25" fillId="5" borderId="0" xfId="1" applyNumberFormat="1" applyFont="1" applyFill="1" applyBorder="1" applyAlignment="1">
      <alignment horizontal="center" vertical="top" wrapText="1"/>
    </xf>
    <xf numFmtId="164" fontId="25" fillId="5" borderId="0" xfId="1" applyNumberFormat="1" applyFont="1" applyFill="1" applyAlignment="1">
      <alignment vertical="top" wrapText="1"/>
    </xf>
    <xf numFmtId="164" fontId="19" fillId="3" borderId="0" xfId="1" applyNumberFormat="1" applyFont="1" applyFill="1" applyBorder="1" applyAlignment="1">
      <alignment vertical="center"/>
    </xf>
    <xf numFmtId="164" fontId="19" fillId="3" borderId="0" xfId="0" applyNumberFormat="1" applyFont="1" applyFill="1" applyAlignment="1">
      <alignment vertical="center"/>
    </xf>
    <xf numFmtId="164" fontId="25" fillId="6" borderId="0" xfId="0" applyNumberFormat="1" applyFont="1" applyFill="1" applyAlignment="1">
      <alignment vertical="center"/>
    </xf>
    <xf numFmtId="0" fontId="19" fillId="3" borderId="1" xfId="0" applyFont="1" applyFill="1" applyBorder="1" applyAlignment="1">
      <alignment vertical="center"/>
    </xf>
    <xf numFmtId="164" fontId="19" fillId="3" borderId="1" xfId="1" applyNumberFormat="1" applyFont="1" applyFill="1" applyBorder="1" applyAlignment="1">
      <alignment vertical="center"/>
    </xf>
    <xf numFmtId="164" fontId="19" fillId="3" borderId="1" xfId="0" applyNumberFormat="1" applyFont="1" applyFill="1" applyBorder="1" applyAlignment="1">
      <alignment vertical="center"/>
    </xf>
    <xf numFmtId="164" fontId="25" fillId="6" borderId="1" xfId="0" applyNumberFormat="1" applyFont="1" applyFill="1" applyBorder="1" applyAlignment="1">
      <alignment vertical="center"/>
    </xf>
    <xf numFmtId="0" fontId="22" fillId="4" borderId="0" xfId="0" applyFont="1" applyFill="1" applyAlignment="1">
      <alignment horizontal="left" vertical="center"/>
    </xf>
    <xf numFmtId="166" fontId="19" fillId="5" borderId="0" xfId="0" applyNumberFormat="1" applyFont="1" applyFill="1" applyAlignment="1">
      <alignment vertical="center"/>
    </xf>
    <xf numFmtId="166" fontId="19" fillId="5" borderId="0" xfId="1" applyNumberFormat="1" applyFont="1" applyFill="1" applyBorder="1" applyAlignment="1">
      <alignment vertical="center"/>
    </xf>
    <xf numFmtId="166" fontId="25" fillId="7" borderId="0" xfId="0" applyNumberFormat="1" applyFont="1" applyFill="1" applyAlignment="1">
      <alignment vertical="center"/>
    </xf>
    <xf numFmtId="167" fontId="19" fillId="5" borderId="0" xfId="0" applyNumberFormat="1" applyFont="1" applyFill="1" applyAlignment="1">
      <alignment vertical="center"/>
    </xf>
    <xf numFmtId="167" fontId="25" fillId="5" borderId="0" xfId="0" applyNumberFormat="1" applyFont="1" applyFill="1" applyAlignment="1">
      <alignment vertical="top" wrapText="1"/>
    </xf>
    <xf numFmtId="168" fontId="19" fillId="5" borderId="0" xfId="0" applyNumberFormat="1" applyFont="1" applyFill="1" applyAlignment="1">
      <alignment vertical="center"/>
    </xf>
    <xf numFmtId="166" fontId="19" fillId="3" borderId="0" xfId="0" applyNumberFormat="1" applyFont="1" applyFill="1" applyAlignment="1">
      <alignment vertical="center"/>
    </xf>
    <xf numFmtId="166" fontId="19" fillId="3" borderId="0" xfId="1" applyNumberFormat="1" applyFont="1" applyFill="1" applyBorder="1" applyAlignment="1">
      <alignment vertical="center"/>
    </xf>
    <xf numFmtId="166" fontId="25" fillId="6" borderId="0" xfId="0" applyNumberFormat="1" applyFont="1" applyFill="1" applyAlignment="1">
      <alignment vertical="center"/>
    </xf>
    <xf numFmtId="167" fontId="19" fillId="3" borderId="0" xfId="0" applyNumberFormat="1" applyFont="1" applyFill="1" applyAlignment="1">
      <alignment vertical="center"/>
    </xf>
    <xf numFmtId="167" fontId="25" fillId="0" borderId="0" xfId="0" applyNumberFormat="1" applyFont="1" applyAlignment="1">
      <alignment vertical="top" wrapText="1"/>
    </xf>
    <xf numFmtId="168" fontId="19" fillId="3" borderId="0" xfId="0" applyNumberFormat="1" applyFont="1" applyFill="1" applyAlignment="1">
      <alignment vertical="center"/>
    </xf>
    <xf numFmtId="166" fontId="19" fillId="3" borderId="1" xfId="0" applyNumberFormat="1" applyFont="1" applyFill="1" applyBorder="1" applyAlignment="1">
      <alignment vertical="center"/>
    </xf>
    <xf numFmtId="166" fontId="19" fillId="3" borderId="1" xfId="1" applyNumberFormat="1" applyFont="1" applyFill="1" applyBorder="1" applyAlignment="1">
      <alignment vertical="center"/>
    </xf>
    <xf numFmtId="166" fontId="25" fillId="6" borderId="2" xfId="0" applyNumberFormat="1" applyFont="1" applyFill="1" applyBorder="1" applyAlignment="1">
      <alignment vertical="center"/>
    </xf>
    <xf numFmtId="167" fontId="19" fillId="3" borderId="3" xfId="0" applyNumberFormat="1" applyFont="1" applyFill="1" applyBorder="1" applyAlignment="1">
      <alignment vertical="center"/>
    </xf>
    <xf numFmtId="166" fontId="19" fillId="3" borderId="3" xfId="1" applyNumberFormat="1" applyFont="1" applyFill="1" applyBorder="1" applyAlignment="1">
      <alignment vertical="center"/>
    </xf>
    <xf numFmtId="167" fontId="25" fillId="0" borderId="3" xfId="0" applyNumberFormat="1" applyFont="1" applyBorder="1" applyAlignment="1">
      <alignment vertical="top" wrapText="1"/>
    </xf>
    <xf numFmtId="168" fontId="19" fillId="3" borderId="3" xfId="0" applyNumberFormat="1" applyFont="1" applyFill="1" applyBorder="1" applyAlignment="1">
      <alignment vertical="center"/>
    </xf>
    <xf numFmtId="17" fontId="4" fillId="3" borderId="6" xfId="0" quotePrefix="1" applyNumberFormat="1" applyFont="1" applyFill="1" applyBorder="1" applyAlignment="1">
      <alignment vertical="center"/>
    </xf>
    <xf numFmtId="3" fontId="4" fillId="3" borderId="7" xfId="0" applyNumberFormat="1" applyFont="1" applyFill="1" applyBorder="1" applyAlignment="1">
      <alignment vertical="center"/>
    </xf>
    <xf numFmtId="17" fontId="19" fillId="3" borderId="6" xfId="0" quotePrefix="1" applyNumberFormat="1" applyFont="1" applyFill="1" applyBorder="1" applyAlignment="1">
      <alignment vertical="center"/>
    </xf>
    <xf numFmtId="3" fontId="19" fillId="3" borderId="7" xfId="0" applyNumberFormat="1" applyFont="1" applyFill="1" applyBorder="1" applyAlignment="1">
      <alignment vertical="center"/>
    </xf>
    <xf numFmtId="0" fontId="19" fillId="3" borderId="6" xfId="0" applyFont="1" applyFill="1" applyBorder="1" applyAlignment="1">
      <alignment vertical="center" wrapText="1"/>
    </xf>
    <xf numFmtId="0" fontId="19" fillId="3" borderId="6" xfId="0" applyFont="1" applyFill="1" applyBorder="1" applyAlignment="1">
      <alignment vertical="center"/>
    </xf>
    <xf numFmtId="3" fontId="19" fillId="3" borderId="10" xfId="0" applyNumberFormat="1" applyFont="1" applyFill="1" applyBorder="1" applyAlignment="1">
      <alignment vertical="center"/>
    </xf>
    <xf numFmtId="3" fontId="4" fillId="3" borderId="15" xfId="0" applyNumberFormat="1" applyFont="1" applyFill="1" applyBorder="1" applyAlignment="1">
      <alignment vertical="center"/>
    </xf>
    <xf numFmtId="3" fontId="19" fillId="3" borderId="15" xfId="0" applyNumberFormat="1" applyFont="1" applyFill="1" applyBorder="1" applyAlignment="1">
      <alignment vertical="center"/>
    </xf>
    <xf numFmtId="3" fontId="19" fillId="3" borderId="14" xfId="0" applyNumberFormat="1" applyFont="1" applyFill="1" applyBorder="1" applyAlignment="1">
      <alignment vertical="center"/>
    </xf>
    <xf numFmtId="0" fontId="4" fillId="3" borderId="11" xfId="0" quotePrefix="1" applyFont="1" applyFill="1" applyBorder="1"/>
    <xf numFmtId="17" fontId="4" fillId="3" borderId="12" xfId="0" applyNumberFormat="1" applyFont="1" applyFill="1" applyBorder="1" applyAlignment="1">
      <alignment wrapText="1"/>
    </xf>
    <xf numFmtId="0" fontId="26" fillId="3" borderId="0" xfId="0" applyFont="1" applyFill="1" applyAlignment="1">
      <alignment horizontal="left" vertical="top"/>
    </xf>
    <xf numFmtId="0" fontId="0" fillId="3" borderId="0" xfId="0" applyFill="1" applyAlignment="1">
      <alignment horizontal="left" wrapText="1"/>
    </xf>
    <xf numFmtId="0" fontId="0" fillId="3" borderId="0" xfId="0" applyFill="1" applyAlignment="1">
      <alignment wrapText="1"/>
    </xf>
    <xf numFmtId="0" fontId="0" fillId="3" borderId="0" xfId="0" applyFill="1" applyAlignment="1">
      <alignment horizontal="center"/>
    </xf>
    <xf numFmtId="0" fontId="26" fillId="3" borderId="0" xfId="0" applyFont="1" applyFill="1" applyAlignment="1">
      <alignment horizontal="center"/>
    </xf>
    <xf numFmtId="0" fontId="6" fillId="3" borderId="0" xfId="5" applyFill="1" applyAlignment="1">
      <alignment horizontal="left" wrapText="1"/>
    </xf>
    <xf numFmtId="0" fontId="14" fillId="3" borderId="0" xfId="0" applyFont="1" applyFill="1" applyAlignment="1">
      <alignment vertical="center"/>
    </xf>
    <xf numFmtId="0" fontId="19" fillId="3" borderId="5" xfId="0" applyFont="1" applyFill="1" applyBorder="1"/>
    <xf numFmtId="167" fontId="20" fillId="3" borderId="0" xfId="0" applyNumberFormat="1" applyFont="1" applyFill="1" applyAlignment="1">
      <alignment vertical="center"/>
    </xf>
    <xf numFmtId="167" fontId="19" fillId="3" borderId="5" xfId="0" applyNumberFormat="1" applyFont="1" applyFill="1" applyBorder="1" applyAlignment="1">
      <alignment vertical="center"/>
    </xf>
    <xf numFmtId="167" fontId="19" fillId="3" borderId="9" xfId="0" applyNumberFormat="1" applyFont="1" applyFill="1" applyBorder="1" applyAlignment="1">
      <alignment vertical="center"/>
    </xf>
    <xf numFmtId="167" fontId="20" fillId="3" borderId="9" xfId="0" applyNumberFormat="1" applyFont="1" applyFill="1" applyBorder="1" applyAlignment="1">
      <alignment vertical="center"/>
    </xf>
    <xf numFmtId="167" fontId="20" fillId="3" borderId="5" xfId="0" applyNumberFormat="1" applyFont="1" applyFill="1" applyBorder="1" applyAlignment="1">
      <alignment vertical="center"/>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9" xfId="0" applyFont="1" applyFill="1" applyBorder="1" applyAlignment="1">
      <alignment horizontal="right" vertical="center" wrapText="1"/>
    </xf>
    <xf numFmtId="164" fontId="19" fillId="3" borderId="3" xfId="0" applyNumberFormat="1" applyFont="1" applyFill="1" applyBorder="1" applyAlignment="1">
      <alignment vertical="center"/>
    </xf>
    <xf numFmtId="17" fontId="22" fillId="10" borderId="0" xfId="0" applyNumberFormat="1" applyFont="1" applyFill="1" applyAlignment="1">
      <alignment horizontal="right" vertical="center"/>
    </xf>
    <xf numFmtId="166" fontId="19" fillId="3" borderId="3" xfId="0" applyNumberFormat="1" applyFont="1" applyFill="1" applyBorder="1" applyAlignment="1">
      <alignment vertical="center"/>
    </xf>
    <xf numFmtId="166" fontId="4" fillId="3" borderId="0" xfId="1" applyNumberFormat="1" applyFont="1" applyFill="1" applyBorder="1" applyAlignment="1">
      <alignment horizontal="right" vertical="center"/>
    </xf>
    <xf numFmtId="167" fontId="0" fillId="3" borderId="0" xfId="0" applyNumberFormat="1" applyFill="1"/>
    <xf numFmtId="166" fontId="4" fillId="3" borderId="0" xfId="1" applyNumberFormat="1" applyFont="1" applyFill="1" applyBorder="1" applyAlignment="1">
      <alignment vertical="center"/>
    </xf>
    <xf numFmtId="166" fontId="19" fillId="0" borderId="0" xfId="0" applyNumberFormat="1" applyFont="1" applyAlignment="1">
      <alignment vertical="center"/>
    </xf>
    <xf numFmtId="166" fontId="19" fillId="0" borderId="3" xfId="0" applyNumberFormat="1" applyFont="1" applyBorder="1" applyAlignment="1">
      <alignment vertical="center"/>
    </xf>
    <xf numFmtId="164" fontId="19" fillId="0" borderId="0" xfId="0" applyNumberFormat="1" applyFont="1" applyAlignment="1">
      <alignment vertical="center"/>
    </xf>
    <xf numFmtId="164" fontId="19" fillId="0" borderId="3" xfId="0" applyNumberFormat="1" applyFont="1" applyBorder="1" applyAlignment="1">
      <alignment vertical="center"/>
    </xf>
    <xf numFmtId="3" fontId="28" fillId="3" borderId="13" xfId="0" applyNumberFormat="1" applyFont="1" applyFill="1" applyBorder="1" applyAlignment="1">
      <alignment vertical="center"/>
    </xf>
    <xf numFmtId="167" fontId="28" fillId="3" borderId="13" xfId="0" applyNumberFormat="1" applyFont="1" applyFill="1" applyBorder="1" applyAlignment="1">
      <alignment vertical="center"/>
    </xf>
    <xf numFmtId="3" fontId="28" fillId="3" borderId="0" xfId="0" applyNumberFormat="1" applyFont="1" applyFill="1" applyAlignment="1">
      <alignment vertical="center"/>
    </xf>
    <xf numFmtId="167" fontId="28" fillId="3" borderId="0" xfId="0" applyNumberFormat="1" applyFont="1" applyFill="1" applyAlignment="1">
      <alignment vertical="center"/>
    </xf>
    <xf numFmtId="166" fontId="4" fillId="3" borderId="7" xfId="1" applyNumberFormat="1" applyFont="1" applyFill="1" applyBorder="1" applyAlignment="1">
      <alignment vertical="center"/>
    </xf>
    <xf numFmtId="166" fontId="19" fillId="5" borderId="7" xfId="0" applyNumberFormat="1" applyFont="1" applyFill="1" applyBorder="1" applyAlignment="1">
      <alignment vertical="center"/>
    </xf>
    <xf numFmtId="166" fontId="19" fillId="0" borderId="7" xfId="0" applyNumberFormat="1" applyFont="1" applyBorder="1" applyAlignment="1">
      <alignment vertical="center"/>
    </xf>
    <xf numFmtId="166" fontId="19" fillId="0" borderId="16" xfId="0" applyNumberFormat="1" applyFont="1" applyBorder="1" applyAlignment="1">
      <alignment vertical="center"/>
    </xf>
    <xf numFmtId="164" fontId="4" fillId="3" borderId="7" xfId="0" applyNumberFormat="1" applyFont="1" applyFill="1" applyBorder="1" applyAlignment="1">
      <alignment vertical="center"/>
    </xf>
    <xf numFmtId="164" fontId="19" fillId="5" borderId="7" xfId="0" applyNumberFormat="1" applyFont="1" applyFill="1" applyBorder="1" applyAlignment="1">
      <alignment vertical="center"/>
    </xf>
    <xf numFmtId="164" fontId="19" fillId="0" borderId="7" xfId="0" applyNumberFormat="1" applyFont="1" applyBorder="1" applyAlignment="1">
      <alignment vertical="center"/>
    </xf>
    <xf numFmtId="164" fontId="19" fillId="0" borderId="16" xfId="0" applyNumberFormat="1" applyFont="1" applyBorder="1" applyAlignment="1">
      <alignment vertical="center"/>
    </xf>
    <xf numFmtId="0" fontId="0" fillId="3" borderId="0" xfId="0" applyFill="1" applyAlignment="1">
      <alignment horizontal="center" vertical="top"/>
    </xf>
    <xf numFmtId="166" fontId="19" fillId="0" borderId="9" xfId="0" applyNumberFormat="1" applyFont="1" applyBorder="1" applyAlignment="1">
      <alignment vertical="center"/>
    </xf>
    <xf numFmtId="164" fontId="19" fillId="0" borderId="9" xfId="0" applyNumberFormat="1" applyFont="1" applyBorder="1" applyAlignment="1">
      <alignment vertical="center"/>
    </xf>
    <xf numFmtId="0" fontId="4" fillId="3" borderId="13" xfId="0" applyFont="1" applyFill="1" applyBorder="1" applyAlignment="1">
      <alignment horizontal="right" vertical="center" wrapText="1"/>
    </xf>
    <xf numFmtId="0" fontId="4" fillId="3" borderId="14" xfId="0" applyFont="1" applyFill="1" applyBorder="1" applyAlignment="1">
      <alignment horizontal="right" vertical="center" wrapText="1"/>
    </xf>
    <xf numFmtId="165" fontId="19" fillId="3" borderId="13" xfId="2" applyNumberFormat="1" applyFont="1" applyFill="1" applyBorder="1" applyAlignment="1">
      <alignment horizontal="right" vertical="center"/>
    </xf>
  </cellXfs>
  <cellStyles count="7">
    <cellStyle name="Comma" xfId="1" builtinId="3"/>
    <cellStyle name="Comma 2" xfId="4" xr:uid="{00000000-0005-0000-0000-000001000000}"/>
    <cellStyle name="Hyperlink" xfId="5" builtinId="8"/>
    <cellStyle name="Normal" xfId="0" builtinId="0"/>
    <cellStyle name="Normal 2" xfId="3" xr:uid="{00000000-0005-0000-0000-000004000000}"/>
    <cellStyle name="Per cent" xfId="2" builtinId="5"/>
    <cellStyle name="Percent 2" xfId="6" xr:uid="{00000000-0005-0000-0000-000006000000}"/>
  </cellStyles>
  <dxfs count="7">
    <dxf>
      <font>
        <b val="0"/>
        <i val="0"/>
        <strike val="0"/>
        <condense val="0"/>
        <extend val="0"/>
        <outline val="0"/>
        <shadow val="0"/>
        <u val="none"/>
        <vertAlign val="baseline"/>
        <sz val="12"/>
        <color auto="1"/>
        <name val="Arial"/>
        <scheme val="none"/>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solid">
          <fgColor indexed="64"/>
          <bgColor theme="0"/>
        </patternFill>
      </fill>
      <alignment horizontal="general"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border outline="0">
        <right style="thin">
          <color indexed="64"/>
        </right>
        <top style="thin">
          <color indexed="64"/>
        </top>
      </border>
    </dxf>
    <dxf>
      <border outline="0">
        <bottom style="thin">
          <color indexed="64"/>
        </bottom>
      </border>
    </dxf>
    <dxf>
      <fill>
        <patternFill patternType="solid">
          <bgColor auto="1"/>
        </patternFill>
      </fill>
    </dxf>
  </dxfs>
  <tableStyles count="2" defaultTableStyle="TableStyleMedium2" defaultPivotStyle="PivotStyleLight16">
    <tableStyle name="Custom" pivot="0" count="1" xr9:uid="{00000000-0011-0000-FFFF-FFFF00000000}">
      <tableStyleElement type="wholeTable" dxfId="6"/>
    </tableStyle>
    <tableStyle name="Table Style 1" pivot="0" count="0" xr9:uid="{00000000-0011-0000-FFFF-FFFF01000000}"/>
  </tableStyles>
  <colors>
    <mruColors>
      <color rgb="FFEAEAEA"/>
      <color rgb="FFC0504D"/>
      <color rgb="FF4F81BD"/>
      <color rgb="FF975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84290547904541E-2"/>
          <c:y val="5.9407161292007009E-2"/>
          <c:w val="0.90197084595194832"/>
          <c:h val="0.60987972329106177"/>
        </c:manualLayout>
      </c:layout>
      <c:barChart>
        <c:barDir val="col"/>
        <c:grouping val="clustered"/>
        <c:varyColors val="0"/>
        <c:ser>
          <c:idx val="0"/>
          <c:order val="0"/>
          <c:tx>
            <c:strRef>
              <c:f>'2. Monthly Statistics'!$B$7</c:f>
              <c:strCache>
                <c:ptCount val="1"/>
                <c:pt idx="0">
                  <c:v>No. of CTR 
recipients</c:v>
                </c:pt>
              </c:strCache>
            </c:strRef>
          </c:tx>
          <c:spPr>
            <a:solidFill>
              <a:schemeClr val="accent1">
                <a:lumMod val="50000"/>
              </a:schemeClr>
            </a:solidFill>
          </c:spPr>
          <c:invertIfNegative val="0"/>
          <c:cat>
            <c:strRef>
              <c:f>'2. Monthly Statistics'!$A$9:$A$40</c:f>
              <c:strCache>
                <c:ptCount val="32"/>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'2. Monthly Statistics'!$B$9:$B$40</c:f>
              <c:numCache>
                <c:formatCode>#,##0</c:formatCode>
                <c:ptCount val="32"/>
                <c:pt idx="0">
                  <c:v>14300</c:v>
                </c:pt>
                <c:pt idx="1">
                  <c:v>11570</c:v>
                </c:pt>
                <c:pt idx="2">
                  <c:v>8130</c:v>
                </c:pt>
                <c:pt idx="3">
                  <c:v>6560</c:v>
                </c:pt>
                <c:pt idx="4">
                  <c:v>30790</c:v>
                </c:pt>
                <c:pt idx="5">
                  <c:v>5190</c:v>
                </c:pt>
                <c:pt idx="6">
                  <c:v>13450</c:v>
                </c:pt>
                <c:pt idx="7">
                  <c:v>16500</c:v>
                </c:pt>
                <c:pt idx="8">
                  <c:v>12690</c:v>
                </c:pt>
                <c:pt idx="9">
                  <c:v>5280</c:v>
                </c:pt>
                <c:pt idx="10">
                  <c:v>6610</c:v>
                </c:pt>
                <c:pt idx="11">
                  <c:v>4410</c:v>
                </c:pt>
                <c:pt idx="12">
                  <c:v>13300</c:v>
                </c:pt>
                <c:pt idx="13">
                  <c:v>29490</c:v>
                </c:pt>
                <c:pt idx="14">
                  <c:v>83590</c:v>
                </c:pt>
                <c:pt idx="15">
                  <c:v>16020</c:v>
                </c:pt>
                <c:pt idx="16">
                  <c:v>9250</c:v>
                </c:pt>
                <c:pt idx="17">
                  <c:v>5910</c:v>
                </c:pt>
                <c:pt idx="18">
                  <c:v>5290</c:v>
                </c:pt>
                <c:pt idx="19">
                  <c:v>1850</c:v>
                </c:pt>
                <c:pt idx="20">
                  <c:v>17100</c:v>
                </c:pt>
                <c:pt idx="21">
                  <c:v>34950</c:v>
                </c:pt>
                <c:pt idx="22">
                  <c:v>1270</c:v>
                </c:pt>
                <c:pt idx="23">
                  <c:v>8790</c:v>
                </c:pt>
                <c:pt idx="24">
                  <c:v>16100</c:v>
                </c:pt>
                <c:pt idx="25">
                  <c:v>7690</c:v>
                </c:pt>
                <c:pt idx="26">
                  <c:v>1080</c:v>
                </c:pt>
                <c:pt idx="27">
                  <c:v>9820</c:v>
                </c:pt>
                <c:pt idx="28">
                  <c:v>30810</c:v>
                </c:pt>
                <c:pt idx="29">
                  <c:v>5430</c:v>
                </c:pt>
                <c:pt idx="30">
                  <c:v>10480</c:v>
                </c:pt>
                <c:pt idx="31">
                  <c:v>14560</c:v>
                </c:pt>
              </c:numCache>
            </c:numRef>
          </c:val>
          <c:extLst>
            <c:ext xmlns:c16="http://schemas.microsoft.com/office/drawing/2014/chart" uri="{C3380CC4-5D6E-409C-BE32-E72D297353CC}">
              <c16:uniqueId val="{00000000-C041-4805-8DB6-AD93F6EA4F2C}"/>
            </c:ext>
          </c:extLst>
        </c:ser>
        <c:dLbls>
          <c:showLegendKey val="0"/>
          <c:showVal val="0"/>
          <c:showCatName val="0"/>
          <c:showSerName val="0"/>
          <c:showPercent val="0"/>
          <c:showBubbleSize val="0"/>
        </c:dLbls>
        <c:gapWidth val="150"/>
        <c:axId val="483839360"/>
        <c:axId val="485635200"/>
      </c:barChart>
      <c:catAx>
        <c:axId val="483839360"/>
        <c:scaling>
          <c:orientation val="minMax"/>
        </c:scaling>
        <c:delete val="0"/>
        <c:axPos val="b"/>
        <c:numFmt formatCode="General" sourceLinked="1"/>
        <c:majorTickMark val="none"/>
        <c:minorTickMark val="none"/>
        <c:tickLblPos val="nextTo"/>
        <c:txPr>
          <a:bodyPr/>
          <a:lstStyle/>
          <a:p>
            <a:pPr>
              <a:defRPr sz="1200">
                <a:latin typeface="Arial" pitchFamily="34" charset="0"/>
                <a:cs typeface="Arial" pitchFamily="34" charset="0"/>
              </a:defRPr>
            </a:pPr>
            <a:endParaRPr lang="en-US"/>
          </a:p>
        </c:txPr>
        <c:crossAx val="485635200"/>
        <c:crosses val="autoZero"/>
        <c:auto val="0"/>
        <c:lblAlgn val="ctr"/>
        <c:lblOffset val="100"/>
        <c:noMultiLvlLbl val="0"/>
      </c:catAx>
      <c:valAx>
        <c:axId val="485635200"/>
        <c:scaling>
          <c:orientation val="minMax"/>
        </c:scaling>
        <c:delete val="0"/>
        <c:axPos val="l"/>
        <c:majorGridlines>
          <c:spPr>
            <a:ln>
              <a:solidFill>
                <a:schemeClr val="bg1">
                  <a:lumMod val="85000"/>
                </a:schemeClr>
              </a:solidFill>
            </a:ln>
          </c:spPr>
        </c:majorGridlines>
        <c:title>
          <c:tx>
            <c:rich>
              <a:bodyPr/>
              <a:lstStyle/>
              <a:p>
                <a:pPr>
                  <a:defRPr sz="1200">
                    <a:latin typeface="Arial" pitchFamily="34" charset="0"/>
                    <a:cs typeface="Arial" pitchFamily="34" charset="0"/>
                  </a:defRPr>
                </a:pPr>
                <a:r>
                  <a:rPr lang="en-GB" sz="1200">
                    <a:latin typeface="Arial" pitchFamily="34" charset="0"/>
                    <a:cs typeface="Arial" pitchFamily="34" charset="0"/>
                  </a:rPr>
                  <a:t>Number of recipients</a:t>
                </a:r>
              </a:p>
            </c:rich>
          </c:tx>
          <c:layout>
            <c:manualLayout>
              <c:xMode val="edge"/>
              <c:yMode val="edge"/>
              <c:x val="7.2625075711689885E-3"/>
              <c:y val="0.20932436262368614"/>
            </c:manualLayout>
          </c:layout>
          <c:overlay val="0"/>
        </c:title>
        <c:numFmt formatCode="#,##0" sourceLinked="0"/>
        <c:majorTickMark val="none"/>
        <c:minorTickMark val="none"/>
        <c:tickLblPos val="nextTo"/>
        <c:txPr>
          <a:bodyPr/>
          <a:lstStyle/>
          <a:p>
            <a:pPr>
              <a:defRPr sz="1200">
                <a:latin typeface="Arial" pitchFamily="34" charset="0"/>
                <a:cs typeface="Arial" pitchFamily="34" charset="0"/>
              </a:defRPr>
            </a:pPr>
            <a:endParaRPr lang="en-US"/>
          </a:p>
        </c:txPr>
        <c:crossAx val="4838393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74455340321718E-2"/>
          <c:y val="6.7522200241543581E-2"/>
          <c:w val="0.90915033313143545"/>
          <c:h val="0.58503152797105196"/>
        </c:manualLayout>
      </c:layout>
      <c:barChart>
        <c:barDir val="col"/>
        <c:grouping val="clustered"/>
        <c:varyColors val="0"/>
        <c:ser>
          <c:idx val="0"/>
          <c:order val="0"/>
          <c:tx>
            <c:strRef>
              <c:f>'2. Monthly Statistics'!$C$7</c:f>
              <c:strCache>
                <c:ptCount val="1"/>
                <c:pt idx="0">
                  <c:v>CTR Weekly 
income forgone 
est. (£'000s)</c:v>
                </c:pt>
              </c:strCache>
            </c:strRef>
          </c:tx>
          <c:spPr>
            <a:solidFill>
              <a:schemeClr val="accent2"/>
            </a:solidFill>
            <a:ln>
              <a:solidFill>
                <a:schemeClr val="accent1">
                  <a:lumMod val="50000"/>
                </a:schemeClr>
              </a:solidFill>
            </a:ln>
          </c:spPr>
          <c:invertIfNegative val="0"/>
          <c:cat>
            <c:strRef>
              <c:f>'2. Monthly Statistics'!$A$9:$A$40</c:f>
              <c:strCache>
                <c:ptCount val="32"/>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'2. Monthly Statistics'!$C$9:$C$40</c:f>
              <c:numCache>
                <c:formatCode>#,##0</c:formatCode>
                <c:ptCount val="32"/>
                <c:pt idx="0">
                  <c:v>238.184</c:v>
                </c:pt>
                <c:pt idx="1">
                  <c:v>187.38200000000001</c:v>
                </c:pt>
                <c:pt idx="2">
                  <c:v>116.68</c:v>
                </c:pt>
                <c:pt idx="3">
                  <c:v>115.848</c:v>
                </c:pt>
                <c:pt idx="4">
                  <c:v>539.495</c:v>
                </c:pt>
                <c:pt idx="5">
                  <c:v>80.275000000000006</c:v>
                </c:pt>
                <c:pt idx="6">
                  <c:v>206.27099999999999</c:v>
                </c:pt>
                <c:pt idx="7">
                  <c:v>261.81799999999998</c:v>
                </c:pt>
                <c:pt idx="8">
                  <c:v>200.81800000000001</c:v>
                </c:pt>
                <c:pt idx="9">
                  <c:v>102.251</c:v>
                </c:pt>
                <c:pt idx="10">
                  <c:v>117.41500000000001</c:v>
                </c:pt>
                <c:pt idx="11">
                  <c:v>85.194000000000003</c:v>
                </c:pt>
                <c:pt idx="12">
                  <c:v>193.45</c:v>
                </c:pt>
                <c:pt idx="13">
                  <c:v>450.90800000000002</c:v>
                </c:pt>
                <c:pt idx="14">
                  <c:v>1486.5440000000001</c:v>
                </c:pt>
                <c:pt idx="15">
                  <c:v>268.25099999999998</c:v>
                </c:pt>
                <c:pt idx="16">
                  <c:v>143.316</c:v>
                </c:pt>
                <c:pt idx="17">
                  <c:v>108.876</c:v>
                </c:pt>
                <c:pt idx="18">
                  <c:v>82.582999999999998</c:v>
                </c:pt>
                <c:pt idx="19">
                  <c:v>26.231000000000002</c:v>
                </c:pt>
                <c:pt idx="20">
                  <c:v>275.67700000000002</c:v>
                </c:pt>
                <c:pt idx="21">
                  <c:v>504.88200000000001</c:v>
                </c:pt>
                <c:pt idx="22">
                  <c:v>20.097000000000001</c:v>
                </c:pt>
                <c:pt idx="23">
                  <c:v>146.16</c:v>
                </c:pt>
                <c:pt idx="24">
                  <c:v>272.27600000000001</c:v>
                </c:pt>
                <c:pt idx="25">
                  <c:v>113.163</c:v>
                </c:pt>
                <c:pt idx="26">
                  <c:v>15.359</c:v>
                </c:pt>
                <c:pt idx="27">
                  <c:v>174.637</c:v>
                </c:pt>
                <c:pt idx="28">
                  <c:v>449.43</c:v>
                </c:pt>
                <c:pt idx="29">
                  <c:v>95.619</c:v>
                </c:pt>
                <c:pt idx="30">
                  <c:v>173.71899999999999</c:v>
                </c:pt>
                <c:pt idx="31">
                  <c:v>226.113</c:v>
                </c:pt>
              </c:numCache>
            </c:numRef>
          </c:val>
          <c:extLst>
            <c:ext xmlns:c16="http://schemas.microsoft.com/office/drawing/2014/chart" uri="{C3380CC4-5D6E-409C-BE32-E72D297353CC}">
              <c16:uniqueId val="{00000000-7A07-470E-A596-83FAEFCA8975}"/>
            </c:ext>
          </c:extLst>
        </c:ser>
        <c:dLbls>
          <c:showLegendKey val="0"/>
          <c:showVal val="0"/>
          <c:showCatName val="0"/>
          <c:showSerName val="0"/>
          <c:showPercent val="0"/>
          <c:showBubbleSize val="0"/>
        </c:dLbls>
        <c:gapWidth val="150"/>
        <c:axId val="485671680"/>
        <c:axId val="485673216"/>
      </c:barChart>
      <c:catAx>
        <c:axId val="485671680"/>
        <c:scaling>
          <c:orientation val="minMax"/>
        </c:scaling>
        <c:delete val="0"/>
        <c:axPos val="b"/>
        <c:numFmt formatCode="General" sourceLinked="1"/>
        <c:majorTickMark val="none"/>
        <c:minorTickMark val="none"/>
        <c:tickLblPos val="nextTo"/>
        <c:txPr>
          <a:bodyPr/>
          <a:lstStyle/>
          <a:p>
            <a:pPr>
              <a:defRPr sz="1200">
                <a:latin typeface="Arial" pitchFamily="34" charset="0"/>
                <a:cs typeface="Arial" pitchFamily="34" charset="0"/>
              </a:defRPr>
            </a:pPr>
            <a:endParaRPr lang="en-US"/>
          </a:p>
        </c:txPr>
        <c:crossAx val="485673216"/>
        <c:crosses val="autoZero"/>
        <c:auto val="0"/>
        <c:lblAlgn val="ctr"/>
        <c:lblOffset val="100"/>
        <c:noMultiLvlLbl val="0"/>
      </c:catAx>
      <c:valAx>
        <c:axId val="485673216"/>
        <c:scaling>
          <c:orientation val="minMax"/>
        </c:scaling>
        <c:delete val="0"/>
        <c:axPos val="l"/>
        <c:majorGridlines>
          <c:spPr>
            <a:ln>
              <a:solidFill>
                <a:schemeClr val="bg1">
                  <a:lumMod val="85000"/>
                </a:schemeClr>
              </a:solidFill>
            </a:ln>
          </c:spPr>
        </c:majorGridlines>
        <c:title>
          <c:tx>
            <c:rich>
              <a:bodyPr/>
              <a:lstStyle/>
              <a:p>
                <a:pPr>
                  <a:defRPr sz="1200">
                    <a:latin typeface="Arial" pitchFamily="34" charset="0"/>
                    <a:cs typeface="Arial" pitchFamily="34" charset="0"/>
                  </a:defRPr>
                </a:pPr>
                <a:r>
                  <a:rPr lang="en-GB" sz="1200">
                    <a:latin typeface="Arial" pitchFamily="34" charset="0"/>
                    <a:cs typeface="Arial" pitchFamily="34" charset="0"/>
                  </a:rPr>
                  <a:t>Weekly total awards estimate (£'000s)</a:t>
                </a:r>
              </a:p>
            </c:rich>
          </c:tx>
          <c:layout>
            <c:manualLayout>
              <c:xMode val="edge"/>
              <c:yMode val="edge"/>
              <c:x val="1.0339436098095102E-2"/>
              <c:y val="8.5014347299851772E-2"/>
            </c:manualLayout>
          </c:layout>
          <c:overlay val="0"/>
        </c:title>
        <c:numFmt formatCode="#,##0" sourceLinked="0"/>
        <c:majorTickMark val="none"/>
        <c:minorTickMark val="none"/>
        <c:tickLblPos val="nextTo"/>
        <c:txPr>
          <a:bodyPr/>
          <a:lstStyle/>
          <a:p>
            <a:pPr>
              <a:defRPr sz="1200">
                <a:latin typeface="Arial" pitchFamily="34" charset="0"/>
                <a:cs typeface="Arial" pitchFamily="34" charset="0"/>
              </a:defRPr>
            </a:pPr>
            <a:endParaRPr lang="en-US"/>
          </a:p>
        </c:txPr>
        <c:crossAx val="4856716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457200</xdr:colOff>
      <xdr:row>3</xdr:row>
      <xdr:rowOff>142875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718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5</xdr:row>
      <xdr:rowOff>161925</xdr:rowOff>
    </xdr:from>
    <xdr:to>
      <xdr:col>24</xdr:col>
      <xdr:colOff>276225</xdr:colOff>
      <xdr:row>24</xdr:row>
      <xdr:rowOff>161925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24</xdr:row>
      <xdr:rowOff>95250</xdr:rowOff>
    </xdr:from>
    <xdr:to>
      <xdr:col>24</xdr:col>
      <xdr:colOff>447675</xdr:colOff>
      <xdr:row>45</xdr:row>
      <xdr:rowOff>76200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ax%20Benefit/CTR%20data/Publication%20Files/CTR%20-%20Caseload%20and%20Expenditure%20-%202020-21/28.%20December%202020/October%2020%20Publication/ctr-recipients-income-forgone-tables-april-13-june-20%20-%20MOCK%20U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417233/AppData/Local/Packages/Microsoft.MicrosoftEdge_8wekyb3d8bbwe/TempState/Downloads/ctr-recipients-income-forgone-tables-april-13-june-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Notes"/>
      <sheetName val="1. Local Authority Statistics"/>
      <sheetName val="2. Monthly Statistics"/>
      <sheetName val="3. Data - Recipients"/>
      <sheetName val="4. Data - Income Forgone"/>
    </sheetNames>
    <sheetDataSet>
      <sheetData sheetId="0" refreshError="1"/>
      <sheetData sheetId="1" refreshError="1"/>
      <sheetData sheetId="2" refreshError="1"/>
      <sheetData sheetId="3" refreshError="1"/>
      <sheetData sheetId="4">
        <row r="4">
          <cell r="A4" t="str">
            <v>SCOTLAND</v>
          </cell>
        </row>
        <row r="5">
          <cell r="A5" t="str">
            <v>Aberdeen City</v>
          </cell>
        </row>
        <row r="6">
          <cell r="A6" t="str">
            <v>Aberdeenshire</v>
          </cell>
        </row>
        <row r="7">
          <cell r="A7" t="str">
            <v>Angus</v>
          </cell>
        </row>
        <row r="8">
          <cell r="A8" t="str">
            <v>Argyll and Bute</v>
          </cell>
        </row>
        <row r="9">
          <cell r="A9" t="str">
            <v>City of Edinburgh</v>
          </cell>
        </row>
        <row r="10">
          <cell r="A10" t="str">
            <v>Clackmannanshire</v>
          </cell>
        </row>
        <row r="11">
          <cell r="A11" t="str">
            <v>Dumfries and Galloway</v>
          </cell>
        </row>
        <row r="12">
          <cell r="A12" t="str">
            <v>Dundee City</v>
          </cell>
        </row>
        <row r="13">
          <cell r="A13" t="str">
            <v>East Ayrshire</v>
          </cell>
        </row>
        <row r="14">
          <cell r="A14" t="str">
            <v>East Dunbartonshire</v>
          </cell>
        </row>
        <row r="15">
          <cell r="A15" t="str">
            <v>East Lothian</v>
          </cell>
        </row>
        <row r="16">
          <cell r="A16" t="str">
            <v>East Renfrewshire</v>
          </cell>
        </row>
        <row r="17">
          <cell r="A17" t="str">
            <v>Falkirk</v>
          </cell>
        </row>
        <row r="18">
          <cell r="A18" t="str">
            <v>Fife</v>
          </cell>
        </row>
        <row r="19">
          <cell r="A19" t="str">
            <v>Glasgow City</v>
          </cell>
        </row>
        <row r="20">
          <cell r="A20" t="str">
            <v>Highland</v>
          </cell>
        </row>
        <row r="21">
          <cell r="A21" t="str">
            <v>Inverclyde</v>
          </cell>
        </row>
        <row r="22">
          <cell r="A22" t="str">
            <v>Midlothian</v>
          </cell>
        </row>
        <row r="23">
          <cell r="A23" t="str">
            <v>Moray</v>
          </cell>
        </row>
        <row r="24">
          <cell r="A24" t="str">
            <v>Na h-Eileanan Siar</v>
          </cell>
        </row>
        <row r="25">
          <cell r="A25" t="str">
            <v>North Ayrshire</v>
          </cell>
        </row>
        <row r="26">
          <cell r="A26" t="str">
            <v>North Lanarkshire</v>
          </cell>
        </row>
        <row r="27">
          <cell r="A27" t="str">
            <v>Orkney Islands</v>
          </cell>
        </row>
        <row r="28">
          <cell r="A28" t="str">
            <v>Perth and Kinross</v>
          </cell>
        </row>
        <row r="29">
          <cell r="A29" t="str">
            <v>Renfrewshire</v>
          </cell>
        </row>
        <row r="30">
          <cell r="A30" t="str">
            <v>Scottish Borders</v>
          </cell>
        </row>
        <row r="31">
          <cell r="A31" t="str">
            <v>Shetland Islands</v>
          </cell>
        </row>
        <row r="32">
          <cell r="A32" t="str">
            <v>South Ayrshire</v>
          </cell>
        </row>
        <row r="33">
          <cell r="A33" t="str">
            <v>South Lanarkshire</v>
          </cell>
        </row>
        <row r="34">
          <cell r="A34" t="str">
            <v>Stirling</v>
          </cell>
        </row>
        <row r="35">
          <cell r="A35" t="str">
            <v>West Dunbartonshire</v>
          </cell>
        </row>
        <row r="36">
          <cell r="A36" t="str">
            <v>West Lothian</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 Local Authority"/>
      <sheetName val="2. Monthly"/>
      <sheetName val="3. Data - Recipients"/>
      <sheetName val="4. Data - Income Forgone"/>
    </sheetNames>
    <sheetDataSet>
      <sheetData sheetId="0"/>
      <sheetData sheetId="1"/>
      <sheetData sheetId="2"/>
      <sheetData sheetId="3">
        <row r="4">
          <cell r="A4" t="str">
            <v>SCOTLAND</v>
          </cell>
        </row>
        <row r="5">
          <cell r="A5" t="str">
            <v>Aberdeen City</v>
          </cell>
        </row>
        <row r="6">
          <cell r="A6" t="str">
            <v>Aberdeenshire</v>
          </cell>
        </row>
        <row r="7">
          <cell r="A7" t="str">
            <v>Angus</v>
          </cell>
        </row>
        <row r="8">
          <cell r="A8" t="str">
            <v>Argyll and Bute</v>
          </cell>
        </row>
        <row r="9">
          <cell r="A9" t="str">
            <v>City of Edinburgh</v>
          </cell>
        </row>
        <row r="10">
          <cell r="A10" t="str">
            <v>Clackmannanshire</v>
          </cell>
        </row>
        <row r="11">
          <cell r="A11" t="str">
            <v>Dumfries and Galloway</v>
          </cell>
        </row>
        <row r="12">
          <cell r="A12" t="str">
            <v>Dundee City</v>
          </cell>
        </row>
        <row r="13">
          <cell r="A13" t="str">
            <v>East Ayrshire</v>
          </cell>
        </row>
        <row r="14">
          <cell r="A14" t="str">
            <v>East Dunbartonshire</v>
          </cell>
        </row>
        <row r="15">
          <cell r="A15" t="str">
            <v>East Lothian</v>
          </cell>
        </row>
        <row r="16">
          <cell r="A16" t="str">
            <v>East Renfrewshire</v>
          </cell>
        </row>
        <row r="17">
          <cell r="A17" t="str">
            <v>Falkirk</v>
          </cell>
        </row>
        <row r="18">
          <cell r="A18" t="str">
            <v>Fife</v>
          </cell>
        </row>
        <row r="19">
          <cell r="A19" t="str">
            <v>Glasgow City</v>
          </cell>
        </row>
        <row r="20">
          <cell r="A20" t="str">
            <v>Highland</v>
          </cell>
        </row>
        <row r="21">
          <cell r="A21" t="str">
            <v>Inverclyde</v>
          </cell>
        </row>
        <row r="22">
          <cell r="A22" t="str">
            <v>Midlothian</v>
          </cell>
        </row>
        <row r="23">
          <cell r="A23" t="str">
            <v>Moray</v>
          </cell>
        </row>
        <row r="24">
          <cell r="A24" t="str">
            <v>Na h-Eileanan Siar</v>
          </cell>
        </row>
        <row r="25">
          <cell r="A25" t="str">
            <v>North Ayrshire</v>
          </cell>
        </row>
        <row r="26">
          <cell r="A26" t="str">
            <v>North Lanarkshire</v>
          </cell>
        </row>
        <row r="27">
          <cell r="A27" t="str">
            <v>Orkney Islands</v>
          </cell>
        </row>
        <row r="28">
          <cell r="A28" t="str">
            <v>Perth and Kinross</v>
          </cell>
        </row>
        <row r="29">
          <cell r="A29" t="str">
            <v>Renfrewshire</v>
          </cell>
        </row>
        <row r="30">
          <cell r="A30" t="str">
            <v>Scottish Borders</v>
          </cell>
        </row>
        <row r="31">
          <cell r="A31" t="str">
            <v>Shetland Islands</v>
          </cell>
        </row>
        <row r="32">
          <cell r="A32" t="str">
            <v>South Ayrshire</v>
          </cell>
        </row>
        <row r="33">
          <cell r="A33" t="str">
            <v>South Lanarkshire</v>
          </cell>
        </row>
        <row r="34">
          <cell r="A34" t="str">
            <v>Stirling</v>
          </cell>
        </row>
        <row r="35">
          <cell r="A35" t="str">
            <v>West Dunbartonshire</v>
          </cell>
        </row>
        <row r="36">
          <cell r="A36" t="str">
            <v>West Lothian</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D137" totalsRowShown="0" headerRowBorderDxfId="5" tableBorderDxfId="4">
  <autoFilter ref="A7:D137" xr:uid="{00000000-0009-0000-0100-000002000000}"/>
  <tableColumns count="4">
    <tableColumn id="1" xr3:uid="{00000000-0010-0000-0000-000001000000}" name="Financial Year" dataDxfId="3"/>
    <tableColumn id="2" xr3:uid="{00000000-0010-0000-0000-000002000000}" name="Month_x000a_(Apr to Mar)" dataDxfId="2"/>
    <tableColumn id="3" xr3:uid="{00000000-0010-0000-0000-000003000000}" name="No. of CTR _x000a_recipients" dataDxfId="1"/>
    <tableColumn id="4" xr3:uid="{00000000-0010-0000-0000-000004000000}" name="CTR Weekly _x000a_income forgone _x000a_(£'000s)"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scot/publications/council-tax-reduction-scotland-april-june-2020/" TargetMode="External"/><Relationship Id="rId7" Type="http://schemas.openxmlformats.org/officeDocument/2006/relationships/hyperlink" Target="http://www.gov.scot/publications/official-statistics-forthcoming-publications/" TargetMode="External"/><Relationship Id="rId2" Type="http://schemas.openxmlformats.org/officeDocument/2006/relationships/hyperlink" Target="https://www.gov.scot/collections/local-government-finance-statistics/" TargetMode="External"/><Relationship Id="rId1" Type="http://schemas.openxmlformats.org/officeDocument/2006/relationships/hyperlink" Target="http://www.gov.scot/publications/council-tax-reduction" TargetMode="External"/><Relationship Id="rId6" Type="http://schemas.openxmlformats.org/officeDocument/2006/relationships/hyperlink" Target="https://www.gov.scot/publications/council-tax-reduction-scotland-april-june-2020/" TargetMode="External"/><Relationship Id="rId5" Type="http://schemas.openxmlformats.org/officeDocument/2006/relationships/hyperlink" Target="https://www.gov.scot/publications/council-tax-reduction-scotland-2019-20" TargetMode="External"/><Relationship Id="rId4" Type="http://schemas.openxmlformats.org/officeDocument/2006/relationships/hyperlink" Target="http://www.gov.scot/collections/local-government-finance-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gov.scot/publications/council-tax-reduction"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5:K18"/>
  <sheetViews>
    <sheetView tabSelected="1" zoomScaleNormal="100" workbookViewId="0">
      <selection activeCell="H2" sqref="H2"/>
    </sheetView>
  </sheetViews>
  <sheetFormatPr defaultColWidth="9.1796875" defaultRowHeight="12.5" x14ac:dyDescent="0.25"/>
  <cols>
    <col min="1" max="1" width="1.1796875" style="1" customWidth="1"/>
    <col min="2" max="16384" width="9.1796875" style="1"/>
  </cols>
  <sheetData>
    <row r="5" spans="2:11" ht="13" x14ac:dyDescent="0.3">
      <c r="B5" s="20" t="s">
        <v>122</v>
      </c>
      <c r="C5"/>
      <c r="D5"/>
      <c r="E5"/>
      <c r="F5"/>
      <c r="G5"/>
      <c r="H5"/>
      <c r="I5"/>
      <c r="J5"/>
      <c r="K5"/>
    </row>
    <row r="6" spans="2:11" ht="13" x14ac:dyDescent="0.3">
      <c r="B6" s="24" t="s">
        <v>65</v>
      </c>
    </row>
    <row r="8" spans="2:11" ht="13" x14ac:dyDescent="0.3">
      <c r="B8" s="20" t="s">
        <v>58</v>
      </c>
    </row>
    <row r="9" spans="2:11" x14ac:dyDescent="0.25">
      <c r="B9" s="22" t="s">
        <v>102</v>
      </c>
    </row>
    <row r="10" spans="2:11" x14ac:dyDescent="0.25">
      <c r="B10" s="21" t="s">
        <v>60</v>
      </c>
    </row>
    <row r="11" spans="2:11" x14ac:dyDescent="0.25">
      <c r="B11" s="21" t="s">
        <v>92</v>
      </c>
    </row>
    <row r="12" spans="2:11" x14ac:dyDescent="0.25">
      <c r="B12" s="21" t="s">
        <v>93</v>
      </c>
    </row>
    <row r="13" spans="2:11" x14ac:dyDescent="0.25">
      <c r="B13" s="22" t="s">
        <v>59</v>
      </c>
    </row>
    <row r="14" spans="2:11" x14ac:dyDescent="0.25">
      <c r="B14" s="22" t="s">
        <v>94</v>
      </c>
    </row>
    <row r="15" spans="2:11" x14ac:dyDescent="0.25">
      <c r="B15" s="22"/>
    </row>
    <row r="16" spans="2:11" x14ac:dyDescent="0.25">
      <c r="B16" s="1" t="s">
        <v>61</v>
      </c>
    </row>
    <row r="17" spans="2:2" x14ac:dyDescent="0.25">
      <c r="B17" s="1" t="s">
        <v>116</v>
      </c>
    </row>
    <row r="18" spans="2:2" x14ac:dyDescent="0.25">
      <c r="B18" s="1" t="s">
        <v>117</v>
      </c>
    </row>
  </sheetData>
  <hyperlinks>
    <hyperlink ref="B11" location="'1. Local Authority Statistics'!A1" display="1. Local Authority: Recipients and Income Forgone by Local Authorities" xr:uid="{00000000-0004-0000-0000-000000000000}"/>
    <hyperlink ref="B12" location="'2. Monthly Statistics'!A1" display="2. Monthly: Recipients and Income Forgone by Month" xr:uid="{00000000-0004-0000-0000-000001000000}"/>
    <hyperlink ref="B13" location="'3. Data - Recipients'!A1" display="3. Data - Recipients" xr:uid="{00000000-0004-0000-0000-000002000000}"/>
    <hyperlink ref="B14" location="'4. Data - Income Forgone'!A1" display="4. Data - Income Forgone" xr:uid="{00000000-0004-0000-0000-000003000000}"/>
    <hyperlink ref="B10" location="Notes!A1" display="Notes" xr:uid="{00000000-0004-0000-0000-000004000000}"/>
    <hyperlink ref="B9" location="Background!A1" display="Background" xr:uid="{00000000-0004-0000-0000-000005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B1:X43"/>
  <sheetViews>
    <sheetView workbookViewId="0">
      <selection activeCell="B1" sqref="B1"/>
    </sheetView>
  </sheetViews>
  <sheetFormatPr defaultColWidth="9.1796875" defaultRowHeight="12.5" x14ac:dyDescent="0.25"/>
  <cols>
    <col min="1" max="1" width="1.1796875" style="1" customWidth="1"/>
    <col min="2" max="16384" width="9.1796875" style="1"/>
  </cols>
  <sheetData>
    <row r="1" spans="2:24" x14ac:dyDescent="0.25">
      <c r="R1" s="22" t="s">
        <v>66</v>
      </c>
    </row>
    <row r="2" spans="2:24" ht="15.5" x14ac:dyDescent="0.35">
      <c r="B2" s="29" t="s">
        <v>89</v>
      </c>
    </row>
    <row r="3" spans="2:24" ht="13.5" customHeight="1" x14ac:dyDescent="0.25">
      <c r="B3" s="30" t="s">
        <v>125</v>
      </c>
      <c r="C3" s="30"/>
      <c r="D3" s="30"/>
      <c r="E3" s="30"/>
      <c r="F3" s="30"/>
      <c r="G3" s="30"/>
      <c r="H3" s="30"/>
      <c r="I3" s="30"/>
      <c r="J3" s="30"/>
      <c r="K3" s="30"/>
      <c r="L3" s="30"/>
      <c r="M3" s="30"/>
      <c r="N3" s="30"/>
      <c r="O3" s="30"/>
      <c r="P3" s="30"/>
    </row>
    <row r="4" spans="2:24" s="30" customFormat="1" x14ac:dyDescent="0.25">
      <c r="B4" s="1" t="s">
        <v>126</v>
      </c>
      <c r="C4" s="1"/>
      <c r="D4" s="1"/>
      <c r="E4" s="1"/>
      <c r="F4" s="1"/>
      <c r="G4" s="1"/>
      <c r="H4" s="1"/>
      <c r="I4" s="1"/>
      <c r="J4" s="1"/>
      <c r="K4" s="1"/>
      <c r="L4" s="1"/>
      <c r="M4" s="1"/>
    </row>
    <row r="5" spans="2:24" x14ac:dyDescent="0.25">
      <c r="B5" s="119" t="s">
        <v>112</v>
      </c>
      <c r="C5" s="119"/>
      <c r="D5" s="119"/>
      <c r="E5" s="119"/>
      <c r="F5" s="119"/>
      <c r="G5" s="119"/>
      <c r="H5" s="119"/>
      <c r="I5" s="119"/>
      <c r="J5" s="119"/>
      <c r="K5" s="119"/>
      <c r="L5" s="119"/>
      <c r="M5" s="119"/>
      <c r="N5" s="119"/>
      <c r="O5" s="119"/>
      <c r="P5" s="119"/>
      <c r="Q5" s="32"/>
      <c r="R5" s="32"/>
      <c r="S5" s="32"/>
      <c r="T5" s="32"/>
      <c r="U5" s="32"/>
      <c r="V5" s="32"/>
      <c r="W5" s="32"/>
      <c r="X5" s="32"/>
    </row>
    <row r="6" spans="2:24" x14ac:dyDescent="0.25">
      <c r="B6" s="34"/>
    </row>
    <row r="7" spans="2:24" x14ac:dyDescent="0.25">
      <c r="B7" s="1" t="s">
        <v>67</v>
      </c>
    </row>
    <row r="8" spans="2:24" x14ac:dyDescent="0.25">
      <c r="B8" s="1" t="s">
        <v>68</v>
      </c>
    </row>
    <row r="9" spans="2:24" x14ac:dyDescent="0.25">
      <c r="B9" s="1" t="s">
        <v>69</v>
      </c>
    </row>
    <row r="10" spans="2:24" x14ac:dyDescent="0.25">
      <c r="B10" s="25" t="s">
        <v>70</v>
      </c>
    </row>
    <row r="11" spans="2:24" x14ac:dyDescent="0.25">
      <c r="B11" s="25"/>
    </row>
    <row r="12" spans="2:24" x14ac:dyDescent="0.25">
      <c r="B12" s="30" t="s">
        <v>90</v>
      </c>
    </row>
    <row r="13" spans="2:24" x14ac:dyDescent="0.25">
      <c r="B13" s="1" t="s">
        <v>71</v>
      </c>
    </row>
    <row r="14" spans="2:24" x14ac:dyDescent="0.25">
      <c r="B14" s="25" t="s">
        <v>72</v>
      </c>
    </row>
    <row r="16" spans="2:24" x14ac:dyDescent="0.25">
      <c r="B16" s="30" t="s">
        <v>120</v>
      </c>
      <c r="C16" s="18"/>
      <c r="D16" s="18"/>
      <c r="E16" s="18"/>
      <c r="F16" s="18"/>
      <c r="G16" s="18"/>
      <c r="H16" s="18"/>
      <c r="I16" s="18"/>
      <c r="J16" s="18"/>
      <c r="K16" s="18"/>
      <c r="L16" s="18"/>
      <c r="M16" s="18"/>
    </row>
    <row r="17" spans="2:2" x14ac:dyDescent="0.25">
      <c r="B17" s="30"/>
    </row>
    <row r="18" spans="2:2" x14ac:dyDescent="0.25">
      <c r="B18" s="30" t="s">
        <v>98</v>
      </c>
    </row>
    <row r="19" spans="2:2" x14ac:dyDescent="0.25">
      <c r="B19" s="22" t="s">
        <v>99</v>
      </c>
    </row>
    <row r="21" spans="2:2" ht="15.5" x14ac:dyDescent="0.35">
      <c r="B21" s="26" t="s">
        <v>73</v>
      </c>
    </row>
    <row r="22" spans="2:2" x14ac:dyDescent="0.25">
      <c r="B22" s="1" t="s">
        <v>74</v>
      </c>
    </row>
    <row r="23" spans="2:2" x14ac:dyDescent="0.25">
      <c r="B23" s="1" t="s">
        <v>75</v>
      </c>
    </row>
    <row r="24" spans="2:2" x14ac:dyDescent="0.25">
      <c r="B24" s="22" t="s">
        <v>63</v>
      </c>
    </row>
    <row r="25" spans="2:2" x14ac:dyDescent="0.25">
      <c r="B25" s="22"/>
    </row>
    <row r="26" spans="2:2" x14ac:dyDescent="0.25">
      <c r="B26" s="1" t="s">
        <v>76</v>
      </c>
    </row>
    <row r="28" spans="2:2" ht="15.5" x14ac:dyDescent="0.35">
      <c r="B28" s="23" t="s">
        <v>77</v>
      </c>
    </row>
    <row r="29" spans="2:2" x14ac:dyDescent="0.25">
      <c r="B29" s="27" t="s">
        <v>78</v>
      </c>
    </row>
    <row r="30" spans="2:2" x14ac:dyDescent="0.25">
      <c r="B30" s="27"/>
    </row>
    <row r="31" spans="2:2" x14ac:dyDescent="0.25">
      <c r="B31" s="27" t="s">
        <v>91</v>
      </c>
    </row>
    <row r="32" spans="2:2" x14ac:dyDescent="0.25">
      <c r="B32" s="27"/>
    </row>
    <row r="33" spans="2:2" ht="15.5" x14ac:dyDescent="0.35">
      <c r="B33" s="23" t="s">
        <v>79</v>
      </c>
    </row>
    <row r="34" spans="2:2" x14ac:dyDescent="0.25">
      <c r="B34" s="27" t="s">
        <v>80</v>
      </c>
    </row>
    <row r="35" spans="2:2" x14ac:dyDescent="0.25">
      <c r="B35" s="28" t="s">
        <v>81</v>
      </c>
    </row>
    <row r="36" spans="2:2" x14ac:dyDescent="0.25">
      <c r="B36" s="28" t="s">
        <v>82</v>
      </c>
    </row>
    <row r="37" spans="2:2" x14ac:dyDescent="0.25">
      <c r="B37" s="25" t="s">
        <v>83</v>
      </c>
    </row>
    <row r="38" spans="2:2" x14ac:dyDescent="0.25">
      <c r="B38" s="28" t="s">
        <v>84</v>
      </c>
    </row>
    <row r="39" spans="2:2" x14ac:dyDescent="0.25">
      <c r="B39" s="25" t="s">
        <v>85</v>
      </c>
    </row>
    <row r="40" spans="2:2" x14ac:dyDescent="0.25">
      <c r="B40" s="22"/>
    </row>
    <row r="41" spans="2:2" ht="15.5" x14ac:dyDescent="0.35">
      <c r="B41" s="23" t="s">
        <v>86</v>
      </c>
    </row>
    <row r="42" spans="2:2" x14ac:dyDescent="0.25">
      <c r="B42" s="1" t="s">
        <v>87</v>
      </c>
    </row>
    <row r="43" spans="2:2" x14ac:dyDescent="0.25">
      <c r="B43" s="22" t="s">
        <v>88</v>
      </c>
    </row>
  </sheetData>
  <hyperlinks>
    <hyperlink ref="B24" r:id="rId1" xr:uid="{00000000-0004-0000-0100-000000000000}"/>
    <hyperlink ref="B43" r:id="rId2" location="counciltax" xr:uid="{00000000-0004-0000-0100-000001000000}"/>
    <hyperlink ref="B14" r:id="rId3" xr:uid="{00000000-0004-0000-0100-000002000000}"/>
    <hyperlink ref="B10" r:id="rId4" location="counciltaxreduction" xr:uid="{00000000-0004-0000-0100-000003000000}"/>
    <hyperlink ref="B37" r:id="rId5" display="https://www.gov.scot/publications/council-tax-reduction-scotland-2019-20" xr:uid="{00000000-0004-0000-0100-000004000000}"/>
    <hyperlink ref="B39" r:id="rId6" display="https://www.gov.scot/publications/council-tax-reduction-scotland-april-june-2020/" xr:uid="{00000000-0004-0000-0100-000005000000}"/>
    <hyperlink ref="R1" location="Contents!A1" display="Return to Contents" xr:uid="{00000000-0004-0000-0100-000006000000}"/>
    <hyperlink ref="B19" r:id="rId7" xr:uid="{00000000-0004-0000-0100-000007000000}"/>
  </hyperlinks>
  <pageMargins left="0.7" right="0.7" top="0.75" bottom="0.75" header="0.3" footer="0.3"/>
  <pageSetup paperSize="9" orientation="portrait" horizontalDpi="90" verticalDpi="9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2"/>
  <sheetViews>
    <sheetView topLeftCell="B1" workbookViewId="0">
      <selection activeCell="B8" sqref="B8"/>
    </sheetView>
  </sheetViews>
  <sheetFormatPr defaultColWidth="9.1796875" defaultRowHeight="12.5" x14ac:dyDescent="0.25"/>
  <cols>
    <col min="1" max="1" width="14.81640625" style="1" bestFit="1" customWidth="1"/>
    <col min="2" max="2" width="140.81640625" style="1" customWidth="1"/>
    <col min="3" max="16384" width="9.1796875" style="1"/>
  </cols>
  <sheetData>
    <row r="1" spans="1:10" ht="14" x14ac:dyDescent="0.3">
      <c r="A1" s="117" t="s">
        <v>105</v>
      </c>
      <c r="B1" s="113" t="s">
        <v>106</v>
      </c>
    </row>
    <row r="2" spans="1:10" x14ac:dyDescent="0.25">
      <c r="A2" s="116" t="s">
        <v>107</v>
      </c>
      <c r="B2" s="114" t="s">
        <v>111</v>
      </c>
    </row>
    <row r="3" spans="1:10" x14ac:dyDescent="0.25">
      <c r="A3" s="116"/>
      <c r="B3" s="118" t="s">
        <v>63</v>
      </c>
    </row>
    <row r="4" spans="1:10" x14ac:dyDescent="0.25">
      <c r="A4" s="116" t="s">
        <v>108</v>
      </c>
      <c r="B4" s="115" t="s">
        <v>103</v>
      </c>
    </row>
    <row r="5" spans="1:10" x14ac:dyDescent="0.25">
      <c r="A5" s="116" t="s">
        <v>109</v>
      </c>
      <c r="B5" s="115" t="s">
        <v>76</v>
      </c>
    </row>
    <row r="6" spans="1:10" x14ac:dyDescent="0.25">
      <c r="A6" s="116" t="s">
        <v>110</v>
      </c>
      <c r="B6" s="115" t="s">
        <v>104</v>
      </c>
    </row>
    <row r="7" spans="1:10" ht="25" x14ac:dyDescent="0.25">
      <c r="A7" s="151" t="s">
        <v>118</v>
      </c>
      <c r="B7" s="115" t="s">
        <v>119</v>
      </c>
      <c r="C7" s="115"/>
      <c r="D7" s="115"/>
      <c r="E7" s="115"/>
      <c r="F7" s="115"/>
      <c r="G7" s="115"/>
      <c r="H7" s="115"/>
      <c r="I7" s="115"/>
      <c r="J7" s="115"/>
    </row>
    <row r="8" spans="1:10" x14ac:dyDescent="0.25">
      <c r="A8" s="116"/>
    </row>
    <row r="9" spans="1:10" x14ac:dyDescent="0.25">
      <c r="A9" s="116"/>
    </row>
    <row r="10" spans="1:10" x14ac:dyDescent="0.25">
      <c r="A10" s="116"/>
    </row>
    <row r="11" spans="1:10" x14ac:dyDescent="0.25">
      <c r="A11" s="116"/>
    </row>
    <row r="12" spans="1:10" x14ac:dyDescent="0.25">
      <c r="A12" s="116"/>
    </row>
  </sheetData>
  <hyperlinks>
    <hyperlink ref="B3"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2060"/>
  </sheetPr>
  <dimension ref="A1:S137"/>
  <sheetViews>
    <sheetView topLeftCell="A120" zoomScale="70" zoomScaleNormal="70" workbookViewId="0">
      <selection activeCell="D137" sqref="D137"/>
    </sheetView>
  </sheetViews>
  <sheetFormatPr defaultColWidth="9.1796875" defaultRowHeight="12.5" x14ac:dyDescent="0.25"/>
  <cols>
    <col min="1" max="1" width="17" style="1" customWidth="1"/>
    <col min="2" max="2" width="15.453125" style="1" customWidth="1"/>
    <col min="3" max="3" width="15.81640625" style="1" customWidth="1"/>
    <col min="4" max="4" width="22.81640625" style="1" customWidth="1"/>
    <col min="5" max="5" width="7" style="1" customWidth="1"/>
    <col min="6" max="6" width="42.81640625" style="1" customWidth="1"/>
    <col min="7" max="7" width="14.54296875" style="1" customWidth="1"/>
    <col min="8" max="8" width="17" style="1" customWidth="1"/>
    <col min="9" max="16384" width="9.1796875" style="1"/>
  </cols>
  <sheetData>
    <row r="1" spans="1:19" ht="15.5" x14ac:dyDescent="0.35">
      <c r="A1" s="23" t="s">
        <v>100</v>
      </c>
      <c r="S1" s="58" t="s">
        <v>66</v>
      </c>
    </row>
    <row r="2" spans="1:19" ht="15.5" x14ac:dyDescent="0.35">
      <c r="A2" s="55" t="s">
        <v>114</v>
      </c>
    </row>
    <row r="3" spans="1:19" ht="15.5" x14ac:dyDescent="0.35">
      <c r="A3" s="23"/>
      <c r="S3" s="58"/>
    </row>
    <row r="4" spans="1:19" ht="18" x14ac:dyDescent="0.4">
      <c r="A4" s="11"/>
      <c r="B4" s="13" t="s">
        <v>32</v>
      </c>
      <c r="C4" s="11" t="s">
        <v>0</v>
      </c>
      <c r="D4" s="10" t="s">
        <v>62</v>
      </c>
      <c r="F4" s="31"/>
    </row>
    <row r="5" spans="1:19" ht="12" customHeight="1" x14ac:dyDescent="0.4">
      <c r="B5" s="10"/>
      <c r="F5" s="19"/>
    </row>
    <row r="6" spans="1:19" s="12" customFormat="1" ht="15.5" x14ac:dyDescent="0.35">
      <c r="B6" s="23" t="str">
        <f>CONCATENATE("CTR data table for ", C4)</f>
        <v>CTR data table for SCOTLAND</v>
      </c>
      <c r="F6" s="35" t="str">
        <f>CONCATENATE("Change in ", C4, " between April 2013 and January 2023:")</f>
        <v>Change in SCOTLAND between April 2013 and January 2023:</v>
      </c>
      <c r="G6" s="36"/>
      <c r="H6" s="37"/>
      <c r="I6" s="38"/>
    </row>
    <row r="7" spans="1:19" ht="45" customHeight="1" x14ac:dyDescent="0.25">
      <c r="A7" s="126" t="s">
        <v>44</v>
      </c>
      <c r="B7" s="127" t="s">
        <v>57</v>
      </c>
      <c r="C7" s="128" t="s">
        <v>33</v>
      </c>
      <c r="D7" s="128" t="s">
        <v>41</v>
      </c>
      <c r="F7" s="39"/>
      <c r="G7" s="40" t="s">
        <v>35</v>
      </c>
      <c r="H7" s="154" t="s">
        <v>34</v>
      </c>
      <c r="I7" s="155"/>
    </row>
    <row r="8" spans="1:19" ht="15" customHeight="1" x14ac:dyDescent="0.35">
      <c r="A8" s="44" t="s">
        <v>45</v>
      </c>
      <c r="B8" s="45" t="s">
        <v>52</v>
      </c>
      <c r="C8" s="46">
        <f>VLOOKUP($C$4, '3. Data - Recipients'!$A$4:$EH$40,2, FALSE)</f>
        <v>552380</v>
      </c>
      <c r="D8" s="122">
        <f>VLOOKUP($C$4, '4. Data - Income Forgone'!$A$4:$EI$37,2, FALSE)</f>
        <v>7091.7180599999992</v>
      </c>
      <c r="F8" s="41" t="s">
        <v>31</v>
      </c>
      <c r="G8" s="139">
        <f>C137-C8</f>
        <v>-94160</v>
      </c>
      <c r="H8" s="156">
        <f>G8/C8</f>
        <v>-0.17046236286614289</v>
      </c>
      <c r="I8" s="156"/>
      <c r="L8" s="33"/>
      <c r="M8" s="33"/>
    </row>
    <row r="9" spans="1:19" ht="15" customHeight="1" x14ac:dyDescent="0.35">
      <c r="A9" s="47"/>
      <c r="B9" s="48"/>
      <c r="C9" s="49">
        <f>VLOOKUP($C$4, '3. Data - Recipients'!$A$4:$EH$40,3, FALSE)</f>
        <v>551630</v>
      </c>
      <c r="D9" s="91">
        <f>VLOOKUP($C$4, '4. Data - Income Forgone'!$A$4:$EI$37,3, FALSE)</f>
        <v>7074.7902899999999</v>
      </c>
      <c r="F9" s="41" t="s">
        <v>42</v>
      </c>
      <c r="G9" s="140">
        <f>+D137-D8</f>
        <v>387.20394000000033</v>
      </c>
      <c r="H9" s="156">
        <f>G9/D8</f>
        <v>5.4599454846347963E-2</v>
      </c>
      <c r="I9" s="156"/>
      <c r="L9" s="16"/>
      <c r="M9" s="16"/>
      <c r="N9" s="16"/>
    </row>
    <row r="10" spans="1:19" ht="15" customHeight="1" x14ac:dyDescent="0.35">
      <c r="A10" s="47"/>
      <c r="B10" s="48" t="s">
        <v>53</v>
      </c>
      <c r="C10" s="49">
        <f>VLOOKUP($C$4, '3. Data - Recipients'!$A$4:$EH$40,4, FALSE)</f>
        <v>551870</v>
      </c>
      <c r="D10" s="91">
        <f>VLOOKUP($C$4, '4. Data - Income Forgone'!$A$4:$EI$37,4, FALSE)</f>
        <v>7075.1696200000015</v>
      </c>
      <c r="F10" s="5"/>
    </row>
    <row r="11" spans="1:19" ht="15" customHeight="1" x14ac:dyDescent="0.35">
      <c r="A11" s="47"/>
      <c r="B11" s="48"/>
      <c r="C11" s="49">
        <f>VLOOKUP($C$4, '3. Data - Recipients'!$A$4:$EH$40,5, FALSE)</f>
        <v>550980</v>
      </c>
      <c r="D11" s="91">
        <f>VLOOKUP($C$4, '4. Data - Income Forgone'!$A$4:$EI$37,5, FALSE)</f>
        <v>7064.6818600000015</v>
      </c>
      <c r="F11" s="5"/>
    </row>
    <row r="12" spans="1:19" ht="15" customHeight="1" x14ac:dyDescent="0.35">
      <c r="A12" s="47"/>
      <c r="B12" s="50"/>
      <c r="C12" s="49">
        <f>VLOOKUP($C$4, '3. Data - Recipients'!$A$4:$EH$40,6, FALSE)</f>
        <v>551620</v>
      </c>
      <c r="D12" s="91">
        <f>VLOOKUP($C$4, '4. Data - Income Forgone'!$A$4:$EI$37,6, FALSE)</f>
        <v>7072.5255200000001</v>
      </c>
      <c r="F12" s="5"/>
      <c r="G12" s="16"/>
      <c r="H12" s="133"/>
      <c r="I12" s="33"/>
    </row>
    <row r="13" spans="1:19" ht="15" customHeight="1" x14ac:dyDescent="0.35">
      <c r="A13" s="47"/>
      <c r="B13" s="50" t="s">
        <v>54</v>
      </c>
      <c r="C13" s="49">
        <f>VLOOKUP($C$4, '3. Data - Recipients'!$A$4:$EH$40,7, FALSE)</f>
        <v>548070</v>
      </c>
      <c r="D13" s="91">
        <f>VLOOKUP($C$4, '4. Data - Income Forgone'!$A$4:$EI$37,7, FALSE)</f>
        <v>7024.5648199999996</v>
      </c>
      <c r="F13" s="5"/>
      <c r="I13" s="33"/>
    </row>
    <row r="14" spans="1:19" ht="15" customHeight="1" x14ac:dyDescent="0.35">
      <c r="A14" s="47"/>
      <c r="B14" s="51"/>
      <c r="C14" s="49">
        <f>VLOOKUP($C$4, '3. Data - Recipients'!$A$4:$EH$40,8, FALSE)</f>
        <v>547350</v>
      </c>
      <c r="D14" s="91">
        <f>VLOOKUP($C$4, '4. Data - Income Forgone'!$A$4:$EI$37,8, FALSE)</f>
        <v>7005.7100000000009</v>
      </c>
      <c r="F14" s="5"/>
    </row>
    <row r="15" spans="1:19" ht="15" customHeight="1" x14ac:dyDescent="0.35">
      <c r="A15" s="47"/>
      <c r="B15" s="51"/>
      <c r="C15" s="49">
        <f>VLOOKUP($C$4, '3. Data - Recipients'!$A$4:$EH$40,9, FALSE)</f>
        <v>544870</v>
      </c>
      <c r="D15" s="91">
        <f>VLOOKUP($C$4, '4. Data - Income Forgone'!$A$4:$EI$37,9, FALSE)</f>
        <v>6969.5390000000025</v>
      </c>
      <c r="F15" s="5"/>
    </row>
    <row r="16" spans="1:19" ht="15" customHeight="1" x14ac:dyDescent="0.35">
      <c r="A16" s="47"/>
      <c r="B16" s="51" t="s">
        <v>55</v>
      </c>
      <c r="C16" s="49">
        <f>VLOOKUP($C$4, '3. Data - Recipients'!$A$4:$EH$40,10, FALSE)</f>
        <v>544090</v>
      </c>
      <c r="D16" s="91">
        <f>VLOOKUP($C$4, '4. Data - Income Forgone'!$A$4:$EI$37,10, FALSE)</f>
        <v>6954.9129999999996</v>
      </c>
      <c r="F16" s="5"/>
    </row>
    <row r="17" spans="1:6" ht="15" customHeight="1" x14ac:dyDescent="0.35">
      <c r="A17" s="47"/>
      <c r="B17" s="51"/>
      <c r="C17" s="49">
        <f>VLOOKUP($C$4, '3. Data - Recipients'!$A$4:$EH$40,11, FALSE)</f>
        <v>542330</v>
      </c>
      <c r="D17" s="91">
        <f>VLOOKUP($C$4, '4. Data - Income Forgone'!$A$4:$EI$37,11, FALSE)</f>
        <v>6930.3579999999993</v>
      </c>
      <c r="F17" s="5"/>
    </row>
    <row r="18" spans="1:6" ht="15" customHeight="1" x14ac:dyDescent="0.35">
      <c r="A18" s="47"/>
      <c r="B18" s="51"/>
      <c r="C18" s="49">
        <f>VLOOKUP($C$4, '3. Data - Recipients'!$A$4:$EH$40,12, FALSE)</f>
        <v>544210</v>
      </c>
      <c r="D18" s="91">
        <f>VLOOKUP($C$4, '4. Data - Income Forgone'!$A$4:$EI$37,12, FALSE)</f>
        <v>6956.2869999999994</v>
      </c>
      <c r="F18" s="5"/>
    </row>
    <row r="19" spans="1:6" ht="15" customHeight="1" x14ac:dyDescent="0.35">
      <c r="A19" s="52"/>
      <c r="B19" s="53" t="s">
        <v>56</v>
      </c>
      <c r="C19" s="54">
        <f>VLOOKUP($C$4, '3. Data - Recipients'!$A$4:$EH$40,13, FALSE)</f>
        <v>543220</v>
      </c>
      <c r="D19" s="123">
        <f>VLOOKUP($C$4, '4. Data - Income Forgone'!$A$4:$EI$37,13, FALSE)</f>
        <v>6944.875</v>
      </c>
      <c r="F19" s="5"/>
    </row>
    <row r="20" spans="1:6" ht="15" customHeight="1" x14ac:dyDescent="0.35">
      <c r="A20" s="44" t="s">
        <v>46</v>
      </c>
      <c r="B20" s="45"/>
      <c r="C20" s="46">
        <f>VLOOKUP($C$4, '3. Data - Recipients'!$A$4:$EH$40,14, FALSE)</f>
        <v>542100</v>
      </c>
      <c r="D20" s="122">
        <f>VLOOKUP($C$4, '4. Data - Income Forgone'!$A$4:$EI$37,14, FALSE)</f>
        <v>6918.8459999999995</v>
      </c>
      <c r="F20" s="5"/>
    </row>
    <row r="21" spans="1:6" ht="15" customHeight="1" x14ac:dyDescent="0.35">
      <c r="A21" s="47"/>
      <c r="B21" s="48"/>
      <c r="C21" s="49">
        <f>VLOOKUP($C$4, '3. Data - Recipients'!$A$4:$EH$40,15, FALSE)</f>
        <v>538520</v>
      </c>
      <c r="D21" s="91">
        <f>VLOOKUP($C$4, '4. Data - Income Forgone'!$A$4:$EI$37,15, FALSE)</f>
        <v>6872.7510000000002</v>
      </c>
      <c r="F21" s="5"/>
    </row>
    <row r="22" spans="1:6" ht="15" customHeight="1" x14ac:dyDescent="0.35">
      <c r="A22" s="47"/>
      <c r="B22" s="48" t="s">
        <v>53</v>
      </c>
      <c r="C22" s="49">
        <f>VLOOKUP($C$4, '3. Data - Recipients'!$A$4:$EH$40,16, FALSE)</f>
        <v>537730</v>
      </c>
      <c r="D22" s="91">
        <f>VLOOKUP($C$4, '4. Data - Income Forgone'!$A$4:$EI$37,16, FALSE)</f>
        <v>6863.143</v>
      </c>
      <c r="F22" s="5"/>
    </row>
    <row r="23" spans="1:6" ht="15" customHeight="1" x14ac:dyDescent="0.35">
      <c r="A23" s="47"/>
      <c r="B23" s="48"/>
      <c r="C23" s="49">
        <f>VLOOKUP($C$4, '3. Data - Recipients'!$A$4:$EH$40,17, FALSE)</f>
        <v>537780</v>
      </c>
      <c r="D23" s="91">
        <f>VLOOKUP($C$4, '4. Data - Income Forgone'!$A$4:$EI$37,17, FALSE)</f>
        <v>6860.72</v>
      </c>
      <c r="F23" s="5"/>
    </row>
    <row r="24" spans="1:6" ht="15" customHeight="1" x14ac:dyDescent="0.35">
      <c r="A24" s="47"/>
      <c r="B24" s="50"/>
      <c r="C24" s="49">
        <f>VLOOKUP($C$4, '3. Data - Recipients'!$A$4:$EH$40,18, FALSE)</f>
        <v>538040</v>
      </c>
      <c r="D24" s="91">
        <f>VLOOKUP($C$4, '4. Data - Income Forgone'!$A$4:$EI$37,18, FALSE)</f>
        <v>6860.59</v>
      </c>
      <c r="F24" s="5"/>
    </row>
    <row r="25" spans="1:6" ht="15" customHeight="1" x14ac:dyDescent="0.35">
      <c r="A25" s="47"/>
      <c r="B25" s="50" t="s">
        <v>54</v>
      </c>
      <c r="C25" s="49">
        <f>VLOOKUP($C$4, '3. Data - Recipients'!$A$4:$EH$40,19, FALSE)</f>
        <v>533980</v>
      </c>
      <c r="D25" s="91">
        <f>VLOOKUP($C$4, '4. Data - Income Forgone'!$A$4:$EI$37,19, FALSE)</f>
        <v>6814.2179999999998</v>
      </c>
      <c r="F25" s="5"/>
    </row>
    <row r="26" spans="1:6" ht="15" customHeight="1" x14ac:dyDescent="0.35">
      <c r="A26" s="47"/>
      <c r="B26" s="51"/>
      <c r="C26" s="49">
        <f>VLOOKUP($C$4, '3. Data - Recipients'!$A$4:$EH$40,20, FALSE)</f>
        <v>531690</v>
      </c>
      <c r="D26" s="91">
        <f>VLOOKUP($C$4, '4. Data - Income Forgone'!$A$4:$EI$37,20, FALSE)</f>
        <v>6777.6809999999996</v>
      </c>
      <c r="F26" s="5"/>
    </row>
    <row r="27" spans="1:6" ht="15" customHeight="1" x14ac:dyDescent="0.35">
      <c r="A27" s="47"/>
      <c r="B27" s="51"/>
      <c r="C27" s="49">
        <f>VLOOKUP($C$4, '3. Data - Recipients'!$A$4:$EH$40,21, FALSE)</f>
        <v>529130</v>
      </c>
      <c r="D27" s="91">
        <f>VLOOKUP($C$4, '4. Data - Income Forgone'!$A$4:$EI$37,21, FALSE)</f>
        <v>6741.2250000000004</v>
      </c>
      <c r="F27" s="5"/>
    </row>
    <row r="28" spans="1:6" ht="15" customHeight="1" x14ac:dyDescent="0.35">
      <c r="A28" s="47"/>
      <c r="B28" s="51" t="s">
        <v>55</v>
      </c>
      <c r="C28" s="49">
        <f>VLOOKUP($C$4, '3. Data - Recipients'!$A$4:$EH$40,22, FALSE)</f>
        <v>527460</v>
      </c>
      <c r="D28" s="91">
        <f>VLOOKUP($C$4, '4. Data - Income Forgone'!$A$4:$EI$37,22, FALSE)</f>
        <v>6717.1509999999998</v>
      </c>
      <c r="F28" s="5"/>
    </row>
    <row r="29" spans="1:6" ht="15" customHeight="1" x14ac:dyDescent="0.35">
      <c r="A29" s="47"/>
      <c r="B29" s="51"/>
      <c r="C29" s="49">
        <f>VLOOKUP($C$4, '3. Data - Recipients'!$A$4:$EH$40,23, FALSE)</f>
        <v>524260</v>
      </c>
      <c r="D29" s="91">
        <f>VLOOKUP($C$4, '4. Data - Income Forgone'!$A$4:$EI$37,23, FALSE)</f>
        <v>6674.473</v>
      </c>
      <c r="F29" s="5"/>
    </row>
    <row r="30" spans="1:6" ht="15" customHeight="1" x14ac:dyDescent="0.35">
      <c r="A30" s="47"/>
      <c r="B30" s="51"/>
      <c r="C30" s="49">
        <f>VLOOKUP($C$4, '3. Data - Recipients'!$A$4:$EH$40,24, FALSE)</f>
        <v>526730</v>
      </c>
      <c r="D30" s="91">
        <f>VLOOKUP($C$4, '4. Data - Income Forgone'!$A$4:$EI$37,24, FALSE)</f>
        <v>6703.5309999999999</v>
      </c>
      <c r="F30" s="5"/>
    </row>
    <row r="31" spans="1:6" ht="15" customHeight="1" x14ac:dyDescent="0.35">
      <c r="A31" s="52"/>
      <c r="B31" s="53" t="s">
        <v>56</v>
      </c>
      <c r="C31" s="54">
        <f>VLOOKUP($C$4, '3. Data - Recipients'!$A$4:$EH$40,25, FALSE)</f>
        <v>525640</v>
      </c>
      <c r="D31" s="123">
        <f>VLOOKUP($C$4, '4. Data - Income Forgone'!$A$4:$EI$37,25, FALSE)</f>
        <v>6688.0110000000004</v>
      </c>
      <c r="F31" s="5"/>
    </row>
    <row r="32" spans="1:6" ht="15" customHeight="1" x14ac:dyDescent="0.35">
      <c r="A32" s="44" t="s">
        <v>47</v>
      </c>
      <c r="B32" s="45"/>
      <c r="C32" s="46">
        <f>VLOOKUP($C$4, '3. Data - Recipients'!$A$4:$EH$40,26, FALSE)</f>
        <v>520050</v>
      </c>
      <c r="D32" s="122">
        <f>VLOOKUP($C$4, '4. Data - Income Forgone'!$A$4:$EI$37,26, FALSE)</f>
        <v>6589.4129999999996</v>
      </c>
      <c r="F32" s="5"/>
    </row>
    <row r="33" spans="1:6" ht="15" customHeight="1" x14ac:dyDescent="0.35">
      <c r="A33" s="47"/>
      <c r="B33" s="48"/>
      <c r="C33" s="49">
        <f>VLOOKUP($C$4, '3. Data - Recipients'!$A$4:$EH$40,27, FALSE)</f>
        <v>518440</v>
      </c>
      <c r="D33" s="91">
        <f>VLOOKUP($C$4, '4. Data - Income Forgone'!$A$4:$EI$37,27, FALSE)</f>
        <v>6573.0349999999999</v>
      </c>
      <c r="F33" s="5"/>
    </row>
    <row r="34" spans="1:6" ht="15" customHeight="1" x14ac:dyDescent="0.35">
      <c r="A34" s="47"/>
      <c r="B34" s="48" t="s">
        <v>53</v>
      </c>
      <c r="C34" s="49">
        <f>VLOOKUP($C$4, '3. Data - Recipients'!$A$4:$EH$40,28, FALSE)</f>
        <v>515260</v>
      </c>
      <c r="D34" s="91">
        <f>VLOOKUP($C$4, '4. Data - Income Forgone'!$A$4:$EI$37,28, FALSE)</f>
        <v>6532.4359999999997</v>
      </c>
      <c r="F34" s="5"/>
    </row>
    <row r="35" spans="1:6" ht="15" customHeight="1" x14ac:dyDescent="0.35">
      <c r="A35" s="47"/>
      <c r="B35" s="48"/>
      <c r="C35" s="49">
        <f>VLOOKUP($C$4, '3. Data - Recipients'!$A$4:$EH$40,29, FALSE)</f>
        <v>515270</v>
      </c>
      <c r="D35" s="91">
        <f>VLOOKUP($C$4, '4. Data - Income Forgone'!$A$4:$EI$37,29, FALSE)</f>
        <v>6537.049</v>
      </c>
    </row>
    <row r="36" spans="1:6" ht="15" customHeight="1" x14ac:dyDescent="0.35">
      <c r="A36" s="47"/>
      <c r="B36" s="50"/>
      <c r="C36" s="49">
        <f>VLOOKUP($C$4, '3. Data - Recipients'!$A$4:$EH$40,30, FALSE)</f>
        <v>515960</v>
      </c>
      <c r="D36" s="91">
        <f>VLOOKUP($C$4, '4. Data - Income Forgone'!$A$4:$EI$37,30, FALSE)</f>
        <v>6545.317</v>
      </c>
    </row>
    <row r="37" spans="1:6" ht="15" customHeight="1" x14ac:dyDescent="0.35">
      <c r="A37" s="47"/>
      <c r="B37" s="50" t="s">
        <v>54</v>
      </c>
      <c r="C37" s="49">
        <f>VLOOKUP($C$4, '3. Data - Recipients'!$A$4:$EH$40,31, FALSE)</f>
        <v>512340</v>
      </c>
      <c r="D37" s="91">
        <f>VLOOKUP($C$4, '4. Data - Income Forgone'!$A$4:$EI$37,31, FALSE)</f>
        <v>6509.8109999999997</v>
      </c>
    </row>
    <row r="38" spans="1:6" ht="15" customHeight="1" x14ac:dyDescent="0.35">
      <c r="A38" s="47"/>
      <c r="B38" s="51"/>
      <c r="C38" s="49">
        <f>VLOOKUP($C$4, '3. Data - Recipients'!$A$4:$EH$40,32, FALSE)</f>
        <v>509140</v>
      </c>
      <c r="D38" s="91">
        <f>VLOOKUP($C$4, '4. Data - Income Forgone'!$A$4:$EI$37,32, FALSE)</f>
        <v>6460.1139999999996</v>
      </c>
    </row>
    <row r="39" spans="1:6" ht="15" customHeight="1" x14ac:dyDescent="0.35">
      <c r="A39" s="47"/>
      <c r="B39" s="51"/>
      <c r="C39" s="49">
        <f>VLOOKUP($C$4, '3. Data - Recipients'!$A$4:$EH$40,33, FALSE)</f>
        <v>506640</v>
      </c>
      <c r="D39" s="91">
        <f>VLOOKUP($C$4, '4. Data - Income Forgone'!$A$4:$EI$37,33, FALSE)</f>
        <v>6425.5079999999998</v>
      </c>
    </row>
    <row r="40" spans="1:6" ht="15" customHeight="1" x14ac:dyDescent="0.35">
      <c r="A40" s="47"/>
      <c r="B40" s="51" t="s">
        <v>55</v>
      </c>
      <c r="C40" s="49">
        <f>VLOOKUP($C$4, '3. Data - Recipients'!$A$4:$EH$40,34, FALSE)</f>
        <v>505270</v>
      </c>
      <c r="D40" s="91">
        <f>VLOOKUP($C$4, '4. Data - Income Forgone'!$A$4:$EI$37,34, FALSE)</f>
        <v>6405.7110000000002</v>
      </c>
    </row>
    <row r="41" spans="1:6" ht="15" customHeight="1" x14ac:dyDescent="0.35">
      <c r="A41" s="47"/>
      <c r="B41" s="51"/>
      <c r="C41" s="49">
        <f>VLOOKUP($C$4, '3. Data - Recipients'!$A$4:$EH$40,35, FALSE)</f>
        <v>503100</v>
      </c>
      <c r="D41" s="91">
        <f>VLOOKUP($C$4, '4. Data - Income Forgone'!$A$4:$EI$37,35, FALSE)</f>
        <v>6379.0219999999999</v>
      </c>
      <c r="F41" s="5"/>
    </row>
    <row r="42" spans="1:6" ht="15" customHeight="1" x14ac:dyDescent="0.35">
      <c r="A42" s="47"/>
      <c r="B42" s="51"/>
      <c r="C42" s="49">
        <f>VLOOKUP($C$4, '3. Data - Recipients'!$A$4:$EH$40,36, FALSE)</f>
        <v>504160</v>
      </c>
      <c r="D42" s="91">
        <f>VLOOKUP($C$4, '4. Data - Income Forgone'!$A$4:$EI$37,36, FALSE)</f>
        <v>6397.39</v>
      </c>
      <c r="F42" s="5"/>
    </row>
    <row r="43" spans="1:6" ht="15" customHeight="1" x14ac:dyDescent="0.35">
      <c r="A43" s="52"/>
      <c r="B43" s="53" t="s">
        <v>56</v>
      </c>
      <c r="C43" s="54">
        <f>VLOOKUP($C$4, '3. Data - Recipients'!$A$4:$EH$40,37, FALSE)</f>
        <v>504980</v>
      </c>
      <c r="D43" s="123">
        <f>VLOOKUP($C$4, '4. Data - Income Forgone'!$A$4:$EI$37,37, FALSE)</f>
        <v>6409.6490000000003</v>
      </c>
      <c r="F43" s="5"/>
    </row>
    <row r="44" spans="1:6" ht="15" customHeight="1" x14ac:dyDescent="0.35">
      <c r="A44" s="44" t="s">
        <v>48</v>
      </c>
      <c r="B44" s="45"/>
      <c r="C44" s="46">
        <f>VLOOKUP($C$4, '3. Data - Recipients'!$A$4:$EH$40,38, FALSE)</f>
        <v>501180</v>
      </c>
      <c r="D44" s="122">
        <f>VLOOKUP($C$4, '4. Data - Income Forgone'!$A$4:$EI$37,38, FALSE)</f>
        <v>6372.8639999999996</v>
      </c>
    </row>
    <row r="45" spans="1:6" ht="15" customHeight="1" x14ac:dyDescent="0.35">
      <c r="A45" s="47"/>
      <c r="B45" s="48"/>
      <c r="C45" s="49">
        <f>VLOOKUP($C$4, '3. Data - Recipients'!$A$4:$EH$40,39, FALSE)</f>
        <v>500350</v>
      </c>
      <c r="D45" s="91">
        <f>VLOOKUP($C$4, '4. Data - Income Forgone'!$A$4:$EI$37,39, FALSE)</f>
        <v>6364.8980000000001</v>
      </c>
    </row>
    <row r="46" spans="1:6" ht="15" customHeight="1" x14ac:dyDescent="0.35">
      <c r="A46" s="47"/>
      <c r="B46" s="48" t="s">
        <v>53</v>
      </c>
      <c r="C46" s="49">
        <f>VLOOKUP($C$4, '3. Data - Recipients'!$A$4:$EH$40,40, FALSE)</f>
        <v>498750</v>
      </c>
      <c r="D46" s="91">
        <f>VLOOKUP($C$4, '4. Data - Income Forgone'!$A$4:$EI$37,40, FALSE)</f>
        <v>6344.7610000000004</v>
      </c>
    </row>
    <row r="47" spans="1:6" ht="15" customHeight="1" x14ac:dyDescent="0.35">
      <c r="A47" s="47"/>
      <c r="B47" s="48"/>
      <c r="C47" s="49">
        <f>VLOOKUP($C$4, '3. Data - Recipients'!$A$4:$EH$40,41, FALSE)</f>
        <v>498400</v>
      </c>
      <c r="D47" s="91">
        <f>VLOOKUP($C$4, '4. Data - Income Forgone'!$A$4:$EI$37,41, FALSE)</f>
        <v>6339.9120000000003</v>
      </c>
    </row>
    <row r="48" spans="1:6" ht="15" customHeight="1" x14ac:dyDescent="0.35">
      <c r="A48" s="47"/>
      <c r="B48" s="50"/>
      <c r="C48" s="49">
        <f>VLOOKUP($C$4, '3. Data - Recipients'!$A$4:$EH$40,42, FALSE)</f>
        <v>499210</v>
      </c>
      <c r="D48" s="91">
        <f>VLOOKUP($C$4, '4. Data - Income Forgone'!$A$4:$EI$37,42, FALSE)</f>
        <v>6349.1379999999999</v>
      </c>
    </row>
    <row r="49" spans="1:4" ht="15" customHeight="1" x14ac:dyDescent="0.35">
      <c r="A49" s="47"/>
      <c r="B49" s="50" t="s">
        <v>54</v>
      </c>
      <c r="C49" s="49">
        <f>VLOOKUP($C$4, '3. Data - Recipients'!$A$4:$EH$40,43, FALSE)</f>
        <v>495660</v>
      </c>
      <c r="D49" s="91">
        <f>VLOOKUP($C$4, '4. Data - Income Forgone'!$A$4:$EI$37,43, FALSE)</f>
        <v>6318.5320000000002</v>
      </c>
    </row>
    <row r="50" spans="1:4" ht="15" customHeight="1" x14ac:dyDescent="0.35">
      <c r="A50" s="47"/>
      <c r="B50" s="51"/>
      <c r="C50" s="49">
        <f>VLOOKUP($C$4, '3. Data - Recipients'!$A$4:$EH$40,44, FALSE)</f>
        <v>493470</v>
      </c>
      <c r="D50" s="91">
        <f>VLOOKUP($C$4, '4. Data - Income Forgone'!$A$4:$EI$37,44, FALSE)</f>
        <v>6284.8609999999999</v>
      </c>
    </row>
    <row r="51" spans="1:4" ht="15" customHeight="1" x14ac:dyDescent="0.35">
      <c r="A51" s="47"/>
      <c r="B51" s="51"/>
      <c r="C51" s="49">
        <f>VLOOKUP($C$4, '3. Data - Recipients'!$A$4:$EH$40,45, FALSE)</f>
        <v>490800</v>
      </c>
      <c r="D51" s="91">
        <f>VLOOKUP($C$4, '4. Data - Income Forgone'!$A$4:$EI$37,45, FALSE)</f>
        <v>6248.2179999999998</v>
      </c>
    </row>
    <row r="52" spans="1:4" ht="15" customHeight="1" x14ac:dyDescent="0.35">
      <c r="A52" s="47"/>
      <c r="B52" s="51" t="s">
        <v>55</v>
      </c>
      <c r="C52" s="49">
        <f>VLOOKUP($C$4, '3. Data - Recipients'!$A$4:$EH$40,46, FALSE)</f>
        <v>490410</v>
      </c>
      <c r="D52" s="91">
        <f>VLOOKUP($C$4, '4. Data - Income Forgone'!$A$4:$EI$37,46, FALSE)</f>
        <v>6237.8450000000003</v>
      </c>
    </row>
    <row r="53" spans="1:4" ht="15.5" x14ac:dyDescent="0.35">
      <c r="A53" s="47"/>
      <c r="B53" s="51"/>
      <c r="C53" s="49">
        <f>VLOOKUP($C$4, '3. Data - Recipients'!$A$4:$EH$40,47, FALSE)</f>
        <v>487400</v>
      </c>
      <c r="D53" s="91">
        <f>VLOOKUP($C$4, '4. Data - Income Forgone'!$A$4:$EI$37,47, FALSE)</f>
        <v>6200.3109999999997</v>
      </c>
    </row>
    <row r="54" spans="1:4" ht="15.5" x14ac:dyDescent="0.35">
      <c r="A54" s="47"/>
      <c r="B54" s="51"/>
      <c r="C54" s="49">
        <f>VLOOKUP($C$4, '3. Data - Recipients'!$A$4:$EH$40,48, FALSE)</f>
        <v>489070</v>
      </c>
      <c r="D54" s="91">
        <f>VLOOKUP($C$4, '4. Data - Income Forgone'!$A$4:$EI$37,48, FALSE)</f>
        <v>6224.7610000000004</v>
      </c>
    </row>
    <row r="55" spans="1:4" ht="15.5" x14ac:dyDescent="0.35">
      <c r="A55" s="52"/>
      <c r="B55" s="53" t="s">
        <v>56</v>
      </c>
      <c r="C55" s="54">
        <f>VLOOKUP($C$4, '3. Data - Recipients'!$A$4:$EH$40,49, FALSE)</f>
        <v>491760</v>
      </c>
      <c r="D55" s="123">
        <f>VLOOKUP($C$4, '4. Data - Income Forgone'!$A$4:$EI$37,49, FALSE)</f>
        <v>6251.8419999999996</v>
      </c>
    </row>
    <row r="56" spans="1:4" ht="15.5" x14ac:dyDescent="0.35">
      <c r="A56" s="44" t="s">
        <v>49</v>
      </c>
      <c r="B56" s="45"/>
      <c r="C56" s="46">
        <f>VLOOKUP($C$4, '3. Data - Recipients'!$A$4:$EH$40,50, FALSE)</f>
        <v>491430</v>
      </c>
      <c r="D56" s="122">
        <f>VLOOKUP($C$4, '4. Data - Income Forgone'!$A$4:$EI$37,50, FALSE)</f>
        <v>6509.15</v>
      </c>
    </row>
    <row r="57" spans="1:4" ht="15.5" x14ac:dyDescent="0.35">
      <c r="A57" s="47"/>
      <c r="B57" s="48"/>
      <c r="C57" s="49">
        <f>VLOOKUP($C$4, '3. Data - Recipients'!$A$4:$EH$40,51, FALSE)</f>
        <v>492860</v>
      </c>
      <c r="D57" s="91">
        <f>VLOOKUP($C$4, '4. Data - Income Forgone'!$A$4:$EI$37,51, FALSE)</f>
        <v>6525.598</v>
      </c>
    </row>
    <row r="58" spans="1:4" ht="15.5" x14ac:dyDescent="0.35">
      <c r="A58" s="47"/>
      <c r="B58" s="48" t="s">
        <v>53</v>
      </c>
      <c r="C58" s="49">
        <f>VLOOKUP($C$4, '3. Data - Recipients'!$A$4:$EH$40,52, FALSE)</f>
        <v>491490</v>
      </c>
      <c r="D58" s="91">
        <f>VLOOKUP($C$4, '4. Data - Income Forgone'!$A$4:$EI$37,52, FALSE)</f>
        <v>6500.8109999999997</v>
      </c>
    </row>
    <row r="59" spans="1:4" ht="15.5" x14ac:dyDescent="0.35">
      <c r="A59" s="47"/>
      <c r="B59" s="48"/>
      <c r="C59" s="49">
        <f>VLOOKUP($C$4, '3. Data - Recipients'!$A$4:$EH$40,53, FALSE)</f>
        <v>493470</v>
      </c>
      <c r="D59" s="91">
        <f>VLOOKUP($C$4, '4. Data - Income Forgone'!$A$4:$EI$37,53, FALSE)</f>
        <v>6520.91</v>
      </c>
    </row>
    <row r="60" spans="1:4" ht="15.5" x14ac:dyDescent="0.35">
      <c r="A60" s="47"/>
      <c r="B60" s="50"/>
      <c r="C60" s="49">
        <f>VLOOKUP($C$4, '3. Data - Recipients'!$A$4:$EH$40,54, FALSE)</f>
        <v>492920</v>
      </c>
      <c r="D60" s="91">
        <f>VLOOKUP($C$4, '4. Data - Income Forgone'!$A$4:$EI$37,54, FALSE)</f>
        <v>6508.42</v>
      </c>
    </row>
    <row r="61" spans="1:4" ht="15.5" x14ac:dyDescent="0.35">
      <c r="A61" s="47"/>
      <c r="B61" s="50" t="s">
        <v>54</v>
      </c>
      <c r="C61" s="49">
        <f>VLOOKUP($C$4, '3. Data - Recipients'!$A$4:$EH$40,55, FALSE)</f>
        <v>489560</v>
      </c>
      <c r="D61" s="91">
        <f>VLOOKUP($C$4, '4. Data - Income Forgone'!$A$4:$EI$37,55, FALSE)</f>
        <v>6465.0460000000003</v>
      </c>
    </row>
    <row r="62" spans="1:4" ht="15.5" x14ac:dyDescent="0.35">
      <c r="A62" s="47"/>
      <c r="B62" s="51"/>
      <c r="C62" s="49">
        <f>VLOOKUP($C$4, '3. Data - Recipients'!$A$4:$EH$40,56, FALSE)</f>
        <v>486480</v>
      </c>
      <c r="D62" s="91">
        <f>VLOOKUP($C$4, '4. Data - Income Forgone'!$A$4:$EI$37,56, FALSE)</f>
        <v>6419.9570000000003</v>
      </c>
    </row>
    <row r="63" spans="1:4" ht="15.5" x14ac:dyDescent="0.35">
      <c r="A63" s="47"/>
      <c r="B63" s="51"/>
      <c r="C63" s="49">
        <f>VLOOKUP($C$4, '3. Data - Recipients'!$A$4:$EH$40,57, FALSE)</f>
        <v>485100</v>
      </c>
      <c r="D63" s="91">
        <f>VLOOKUP($C$4, '4. Data - Income Forgone'!$A$4:$EI$37,57, FALSE)</f>
        <v>6398.5060000000003</v>
      </c>
    </row>
    <row r="64" spans="1:4" ht="15.5" x14ac:dyDescent="0.35">
      <c r="A64" s="47"/>
      <c r="B64" s="51" t="s">
        <v>55</v>
      </c>
      <c r="C64" s="49">
        <f>VLOOKUP($C$4, '3. Data - Recipients'!$A$4:$EH$40,58, FALSE)</f>
        <v>483980</v>
      </c>
      <c r="D64" s="91">
        <f>VLOOKUP($C$4, '4. Data - Income Forgone'!$A$4:$EI$37,58, FALSE)</f>
        <v>6379.8959999999997</v>
      </c>
    </row>
    <row r="65" spans="1:4" ht="15.5" x14ac:dyDescent="0.35">
      <c r="A65" s="47"/>
      <c r="B65" s="51"/>
      <c r="C65" s="49">
        <f>VLOOKUP($C$4, '3. Data - Recipients'!$A$4:$EH$40,59, FALSE)</f>
        <v>482360</v>
      </c>
      <c r="D65" s="91">
        <f>VLOOKUP($C$4, '4. Data - Income Forgone'!$A$4:$EI$37,59, FALSE)</f>
        <v>6357.0370000000003</v>
      </c>
    </row>
    <row r="66" spans="1:4" ht="15.5" x14ac:dyDescent="0.35">
      <c r="A66" s="47"/>
      <c r="B66" s="51"/>
      <c r="C66" s="49">
        <f>VLOOKUP($C$4, '3. Data - Recipients'!$A$4:$EH$40,60, FALSE)</f>
        <v>483590</v>
      </c>
      <c r="D66" s="91">
        <f>VLOOKUP($C$4, '4. Data - Income Forgone'!$A$4:$EI$37,60, FALSE)</f>
        <v>6372.7489999999998</v>
      </c>
    </row>
    <row r="67" spans="1:4" ht="15.5" x14ac:dyDescent="0.35">
      <c r="A67" s="52"/>
      <c r="B67" s="53" t="s">
        <v>56</v>
      </c>
      <c r="C67" s="54">
        <f>VLOOKUP($C$4, '3. Data - Recipients'!$A$4:$EH$40,61, FALSE)</f>
        <v>484910</v>
      </c>
      <c r="D67" s="123">
        <f>VLOOKUP($C$4, '4. Data - Income Forgone'!$A$4:$EI$37,61, FALSE)</f>
        <v>6389.973</v>
      </c>
    </row>
    <row r="68" spans="1:4" ht="15.5" x14ac:dyDescent="0.35">
      <c r="A68" s="44" t="s">
        <v>50</v>
      </c>
      <c r="B68" s="45"/>
      <c r="C68" s="46">
        <f>VLOOKUP($C$4, '3. Data - Recipients'!$A$4:$EH$40,62, FALSE)</f>
        <v>481490</v>
      </c>
      <c r="D68" s="122">
        <f>VLOOKUP($C$4, '4. Data - Income Forgone'!$A$4:$EI$37,62, FALSE)</f>
        <v>6522.8509999999997</v>
      </c>
    </row>
    <row r="69" spans="1:4" ht="15.5" x14ac:dyDescent="0.35">
      <c r="A69" s="47"/>
      <c r="B69" s="48"/>
      <c r="C69" s="49">
        <f>VLOOKUP($C$4, '3. Data - Recipients'!$A$4:$EH$40,63, FALSE)</f>
        <v>481870</v>
      </c>
      <c r="D69" s="91">
        <f>VLOOKUP($C$4, '4. Data - Income Forgone'!$A$4:$EI$37,63, FALSE)</f>
        <v>6530.5259999999998</v>
      </c>
    </row>
    <row r="70" spans="1:4" ht="15.5" x14ac:dyDescent="0.35">
      <c r="A70" s="47"/>
      <c r="B70" s="48" t="s">
        <v>53</v>
      </c>
      <c r="C70" s="49">
        <f>VLOOKUP($C$4, '3. Data - Recipients'!$A$4:$EH$40,64, FALSE)</f>
        <v>481850</v>
      </c>
      <c r="D70" s="91">
        <f>VLOOKUP($C$4, '4. Data - Income Forgone'!$A$4:$EI$37,64, FALSE)</f>
        <v>6529.7969999999996</v>
      </c>
    </row>
    <row r="71" spans="1:4" ht="15.5" x14ac:dyDescent="0.35">
      <c r="A71" s="47"/>
      <c r="B71" s="48"/>
      <c r="C71" s="49">
        <f>VLOOKUP($C$4, '3. Data - Recipients'!$A$4:$EH$40,65, FALSE)</f>
        <v>483250</v>
      </c>
      <c r="D71" s="91">
        <f>VLOOKUP($C$4, '4. Data - Income Forgone'!$A$4:$EI$37,65, FALSE)</f>
        <v>6540.4470000000001</v>
      </c>
    </row>
    <row r="72" spans="1:4" ht="15.5" x14ac:dyDescent="0.35">
      <c r="A72" s="47"/>
      <c r="B72" s="50"/>
      <c r="C72" s="49">
        <f>VLOOKUP($C$4, '3. Data - Recipients'!$A$4:$EH$40,66, FALSE)</f>
        <v>485310</v>
      </c>
      <c r="D72" s="91">
        <f>VLOOKUP($C$4, '4. Data - Income Forgone'!$A$4:$EI$37,66, FALSE)</f>
        <v>6565.6530000000002</v>
      </c>
    </row>
    <row r="73" spans="1:4" ht="15.5" x14ac:dyDescent="0.35">
      <c r="A73" s="47"/>
      <c r="B73" s="50" t="s">
        <v>54</v>
      </c>
      <c r="C73" s="49">
        <f>VLOOKUP($C$4, '3. Data - Recipients'!$A$4:$EH$40,67, FALSE)</f>
        <v>481100</v>
      </c>
      <c r="D73" s="91">
        <f>VLOOKUP($C$4, '4. Data - Income Forgone'!$A$4:$EI$37,67, FALSE)</f>
        <v>6510.68</v>
      </c>
    </row>
    <row r="74" spans="1:4" ht="15.5" x14ac:dyDescent="0.35">
      <c r="A74" s="47"/>
      <c r="B74" s="51"/>
      <c r="C74" s="49">
        <f>VLOOKUP($C$4, '3. Data - Recipients'!$A$4:$EH$40,68, FALSE)</f>
        <v>469930</v>
      </c>
      <c r="D74" s="91">
        <f>VLOOKUP($C$4, '4. Data - Income Forgone'!$A$4:$EI$37,68, FALSE)</f>
        <v>6367.9290000000001</v>
      </c>
    </row>
    <row r="75" spans="1:4" ht="15.5" x14ac:dyDescent="0.35">
      <c r="A75" s="47"/>
      <c r="B75" s="51"/>
      <c r="C75" s="49">
        <f>VLOOKUP($C$4, '3. Data - Recipients'!$A$4:$EH$40,69, FALSE)</f>
        <v>477580</v>
      </c>
      <c r="D75" s="91">
        <f>VLOOKUP($C$4, '4. Data - Income Forgone'!$A$4:$EI$37,69, FALSE)</f>
        <v>6452.4260000000004</v>
      </c>
    </row>
    <row r="76" spans="1:4" ht="15.5" x14ac:dyDescent="0.35">
      <c r="A76" s="47"/>
      <c r="B76" s="51" t="s">
        <v>55</v>
      </c>
      <c r="C76" s="49">
        <f>VLOOKUP($C$4, '3. Data - Recipients'!$A$4:$EH$40,70, FALSE)</f>
        <v>473410</v>
      </c>
      <c r="D76" s="91">
        <f>VLOOKUP($C$4, '4. Data - Income Forgone'!$A$4:$EI$37,70, FALSE)</f>
        <v>6391.2150000000001</v>
      </c>
    </row>
    <row r="77" spans="1:4" ht="15.5" x14ac:dyDescent="0.35">
      <c r="A77" s="47"/>
      <c r="B77" s="51"/>
      <c r="C77" s="49">
        <f>VLOOKUP($C$4, '3. Data - Recipients'!$A$4:$EH$40,71, FALSE)</f>
        <v>475460</v>
      </c>
      <c r="D77" s="91">
        <f>VLOOKUP($C$4, '4. Data - Income Forgone'!$A$4:$EI$37,71, FALSE)</f>
        <v>6413.2539999999999</v>
      </c>
    </row>
    <row r="78" spans="1:4" ht="15.5" x14ac:dyDescent="0.35">
      <c r="A78" s="47"/>
      <c r="B78" s="51"/>
      <c r="C78" s="49">
        <f>VLOOKUP($C$4, '3. Data - Recipients'!$A$4:$EH$40,72, FALSE)</f>
        <v>477100</v>
      </c>
      <c r="D78" s="91">
        <f>VLOOKUP($C$4, '4. Data - Income Forgone'!$A$4:$EI$37,72, FALSE)</f>
        <v>6434.8329999999996</v>
      </c>
    </row>
    <row r="79" spans="1:4" ht="15.5" x14ac:dyDescent="0.35">
      <c r="A79" s="52"/>
      <c r="B79" s="53" t="s">
        <v>56</v>
      </c>
      <c r="C79" s="54">
        <f>VLOOKUP($C$4, '3. Data - Recipients'!$A$4:$EH$40,73, FALSE)</f>
        <v>477800</v>
      </c>
      <c r="D79" s="123">
        <f>VLOOKUP($C$4, '4. Data - Income Forgone'!$A$4:$EI$37,73, FALSE)</f>
        <v>6443.2910000000002</v>
      </c>
    </row>
    <row r="80" spans="1:4" ht="15.5" x14ac:dyDescent="0.35">
      <c r="A80" s="55" t="s">
        <v>51</v>
      </c>
      <c r="B80" s="48"/>
      <c r="C80" s="49">
        <f>VLOOKUP($C$4, '3. Data - Recipients'!$A$4:$EH$40,74, FALSE)</f>
        <v>474420</v>
      </c>
      <c r="D80" s="122">
        <f>VLOOKUP($C$4, '4. Data - Income Forgone'!$A$4:$EI$37,74, FALSE)</f>
        <v>6614.6779999999999</v>
      </c>
    </row>
    <row r="81" spans="1:4" ht="15.5" x14ac:dyDescent="0.35">
      <c r="A81" s="55"/>
      <c r="B81" s="48"/>
      <c r="C81" s="49">
        <f>VLOOKUP($C$4, '3. Data - Recipients'!$A$4:$EH$40,75, FALSE)</f>
        <v>473430</v>
      </c>
      <c r="D81" s="91">
        <f>VLOOKUP($C$4, '4. Data - Income Forgone'!$A$4:$EI$37,75, FALSE)</f>
        <v>6604.3040000000001</v>
      </c>
    </row>
    <row r="82" spans="1:4" ht="15.5" x14ac:dyDescent="0.35">
      <c r="A82" s="55"/>
      <c r="B82" s="48" t="s">
        <v>53</v>
      </c>
      <c r="C82" s="49">
        <f>VLOOKUP($C$4, '3. Data - Recipients'!$A$4:$EH$40,76, FALSE)</f>
        <v>472640</v>
      </c>
      <c r="D82" s="91">
        <f>VLOOKUP($C$4, '4. Data - Income Forgone'!$A$4:$EI$37,76, FALSE)</f>
        <v>6587.7060000000001</v>
      </c>
    </row>
    <row r="83" spans="1:4" ht="15.5" x14ac:dyDescent="0.35">
      <c r="A83" s="55"/>
      <c r="B83" s="48"/>
      <c r="C83" s="49">
        <f>VLOOKUP($C$4, '3. Data - Recipients'!$A$4:$EH$40,77, FALSE)</f>
        <v>473510</v>
      </c>
      <c r="D83" s="121">
        <f>VLOOKUP($C$4, '4. Data - Income Forgone'!$A$4:$EI$37,77, FALSE)</f>
        <v>6592.326</v>
      </c>
    </row>
    <row r="84" spans="1:4" ht="15.5" x14ac:dyDescent="0.35">
      <c r="A84" s="55"/>
      <c r="B84" s="50"/>
      <c r="C84" s="49">
        <f>VLOOKUP($C$4, '3. Data - Recipients'!$A$4:$EH$40,78, FALSE)</f>
        <v>474510</v>
      </c>
      <c r="D84" s="121">
        <f>VLOOKUP($C$4, '4. Data - Income Forgone'!$A$4:$EI$37,78, FALSE)</f>
        <v>6606.625</v>
      </c>
    </row>
    <row r="85" spans="1:4" ht="15.5" x14ac:dyDescent="0.35">
      <c r="A85" s="55"/>
      <c r="B85" s="50" t="s">
        <v>54</v>
      </c>
      <c r="C85" s="49">
        <f>VLOOKUP($C$4, '3. Data - Recipients'!$A$4:$EH$40,79, FALSE)</f>
        <v>471790</v>
      </c>
      <c r="D85" s="121">
        <f>VLOOKUP($C$4, '4. Data - Income Forgone'!$A$4:$EI$37,79, FALSE)</f>
        <v>6570.4719999999998</v>
      </c>
    </row>
    <row r="86" spans="1:4" ht="15.5" x14ac:dyDescent="0.35">
      <c r="A86" s="55"/>
      <c r="B86" s="51"/>
      <c r="C86" s="49">
        <f>VLOOKUP($C$4, '3. Data - Recipients'!$A$4:$EH$40,80, FALSE)</f>
        <v>470420</v>
      </c>
      <c r="D86" s="91">
        <f>VLOOKUP($C$4, '4. Data - Income Forgone'!$A$4:$EI$37,80, FALSE)</f>
        <v>6542.7529999999997</v>
      </c>
    </row>
    <row r="87" spans="1:4" ht="15.5" x14ac:dyDescent="0.35">
      <c r="A87" s="55"/>
      <c r="B87" s="51"/>
      <c r="C87" s="49">
        <f>VLOOKUP($C$4, '3. Data - Recipients'!$A$4:$EH$40,81, FALSE)</f>
        <v>468140</v>
      </c>
      <c r="D87" s="121">
        <f>VLOOKUP($C$4, '4. Data - Income Forgone'!$A$4:$EI$37,81, FALSE)</f>
        <v>6507.9449999999997</v>
      </c>
    </row>
    <row r="88" spans="1:4" ht="15.5" x14ac:dyDescent="0.35">
      <c r="A88" s="55"/>
      <c r="B88" s="51" t="s">
        <v>55</v>
      </c>
      <c r="C88" s="49">
        <f>VLOOKUP($C$4, '3. Data - Recipients'!$A$4:$EH$40,82, FALSE)</f>
        <v>468150</v>
      </c>
      <c r="D88" s="121">
        <f>VLOOKUP($C$4, '4. Data - Income Forgone'!$A$4:$EI$37,82, FALSE)</f>
        <v>6502.7439999999997</v>
      </c>
    </row>
    <row r="89" spans="1:4" ht="15.5" x14ac:dyDescent="0.35">
      <c r="A89" s="55"/>
      <c r="B89" s="51"/>
      <c r="C89" s="49">
        <f>VLOOKUP($C$4, '3. Data - Recipients'!$A$4:$EH$40,83, FALSE)</f>
        <v>466740</v>
      </c>
      <c r="D89" s="121">
        <f>VLOOKUP($C$4, '4. Data - Income Forgone'!$A$4:$EI$37,83, FALSE)</f>
        <v>6481.23</v>
      </c>
    </row>
    <row r="90" spans="1:4" ht="15.5" x14ac:dyDescent="0.35">
      <c r="A90" s="55"/>
      <c r="B90" s="51"/>
      <c r="C90" s="49">
        <f>VLOOKUP($C$4, '3. Data - Recipients'!$A$4:$EH$40,84, FALSE)</f>
        <v>467730</v>
      </c>
      <c r="D90" s="91">
        <f>VLOOKUP($C$4, '4. Data - Income Forgone'!$A$4:$EI$37,84, FALSE)</f>
        <v>6499.2370000000001</v>
      </c>
    </row>
    <row r="91" spans="1:4" ht="15.5" x14ac:dyDescent="0.35">
      <c r="A91" s="56"/>
      <c r="B91" s="53" t="s">
        <v>56</v>
      </c>
      <c r="C91" s="54">
        <f>VLOOKUP($C$4, '3. Data - Recipients'!$A$4:$EH$40,85, FALSE)</f>
        <v>469370</v>
      </c>
      <c r="D91" s="124">
        <f>VLOOKUP($C$4, '4. Data - Income Forgone'!$A$4:$EI$37,85, FALSE)</f>
        <v>6524.826</v>
      </c>
    </row>
    <row r="92" spans="1:4" ht="15.5" x14ac:dyDescent="0.35">
      <c r="A92" s="55" t="s">
        <v>64</v>
      </c>
      <c r="B92" s="55"/>
      <c r="C92" s="49">
        <f>VLOOKUP($C$4, '3. Data - Recipients'!$A$4:$EH$40,86, FALSE)</f>
        <v>490160</v>
      </c>
      <c r="D92" s="125">
        <f>VLOOKUP($C$4, '4. Data - Income Forgone'!$A$4:$EI$37,86, FALSE)</f>
        <v>7217.7089999999998</v>
      </c>
    </row>
    <row r="93" spans="1:4" ht="15.5" x14ac:dyDescent="0.35">
      <c r="A93" s="55"/>
      <c r="B93" s="55"/>
      <c r="C93" s="49">
        <f>VLOOKUP($C$4, '3. Data - Recipients'!$A$4:$EH$40,87, FALSE)</f>
        <v>497950</v>
      </c>
      <c r="D93" s="121">
        <f>VLOOKUP($C$4, '4. Data - Income Forgone'!$A$4:$EI$37,87, FALSE)</f>
        <v>7339.5259999999998</v>
      </c>
    </row>
    <row r="94" spans="1:4" ht="15.5" x14ac:dyDescent="0.35">
      <c r="A94" s="55"/>
      <c r="B94" s="55" t="s">
        <v>53</v>
      </c>
      <c r="C94" s="49">
        <f>VLOOKUP($C$4, '3. Data - Recipients'!$A$4:$EH$40,88, FALSE)</f>
        <v>497960</v>
      </c>
      <c r="D94" s="121">
        <f>VLOOKUP($C$4, '4. Data - Income Forgone'!$A$4:$EI$37,88, FALSE)</f>
        <v>7334.2269999999999</v>
      </c>
    </row>
    <row r="95" spans="1:4" ht="15.5" x14ac:dyDescent="0.35">
      <c r="A95" s="55"/>
      <c r="B95" s="55"/>
      <c r="C95" s="49">
        <f>VLOOKUP($C$4, '3. Data - Recipients'!$A$4:$EH$40,89, FALSE)</f>
        <v>499580</v>
      </c>
      <c r="D95" s="121">
        <f>VLOOKUP($C$4, '4. Data - Income Forgone'!$A$4:$EI$37,89, FALSE)</f>
        <v>7360.0720000000001</v>
      </c>
    </row>
    <row r="96" spans="1:4" ht="15.5" x14ac:dyDescent="0.35">
      <c r="A96" s="55"/>
      <c r="B96" s="55"/>
      <c r="C96" s="49">
        <f>VLOOKUP($C$4, '3. Data - Recipients'!$A$4:$EH$40,90, FALSE)</f>
        <v>501680</v>
      </c>
      <c r="D96" s="121">
        <f>VLOOKUP($C$4, '4. Data - Income Forgone'!$A$4:$EI$37,90, FALSE)</f>
        <v>7390.2089999999998</v>
      </c>
    </row>
    <row r="97" spans="1:6" ht="15.5" x14ac:dyDescent="0.35">
      <c r="A97" s="55"/>
      <c r="B97" s="50" t="s">
        <v>54</v>
      </c>
      <c r="C97" s="49">
        <f>VLOOKUP($C$4, '3. Data - Recipients'!$A$4:$EH$40,91, FALSE)</f>
        <v>500620</v>
      </c>
      <c r="D97" s="121">
        <f>VLOOKUP($C$4, '4. Data - Income Forgone'!$A$4:$EI$37,91, FALSE)</f>
        <v>7364.6819999999998</v>
      </c>
    </row>
    <row r="98" spans="1:6" ht="15.5" x14ac:dyDescent="0.35">
      <c r="A98" s="55"/>
      <c r="B98" s="55"/>
      <c r="C98" s="49">
        <f>VLOOKUP($C$4, '3. Data - Recipients'!$A$4:$EH$40,92, FALSE)</f>
        <v>498650</v>
      </c>
      <c r="D98" s="121">
        <f>VLOOKUP($C$4, '4. Data - Income Forgone'!$A$4:$EI$37,92, FALSE)</f>
        <v>7333.2449999999999</v>
      </c>
    </row>
    <row r="99" spans="1:6" ht="15.5" x14ac:dyDescent="0.35">
      <c r="A99" s="55"/>
      <c r="B99" s="55"/>
      <c r="C99" s="49">
        <f>VLOOKUP($C$4, '3. Data - Recipients'!$A$4:$EH$40,93, FALSE)</f>
        <v>497170</v>
      </c>
      <c r="D99" s="121">
        <f>VLOOKUP($C$4, '4. Data - Income Forgone'!$A$4:$EI$37,93, FALSE)</f>
        <v>7311.0349999999999</v>
      </c>
    </row>
    <row r="100" spans="1:6" ht="15.5" x14ac:dyDescent="0.35">
      <c r="A100" s="55"/>
      <c r="B100" s="55" t="s">
        <v>55</v>
      </c>
      <c r="C100" s="49">
        <f>VLOOKUP($C$4, '3. Data - Recipients'!$A$4:$EH$40,94, FALSE)</f>
        <v>496470</v>
      </c>
      <c r="D100" s="121">
        <f>VLOOKUP($C$4, '4. Data - Income Forgone'!$A$4:$EI$37,94, FALSE)</f>
        <v>7302.2920000000004</v>
      </c>
    </row>
    <row r="101" spans="1:6" ht="15.5" x14ac:dyDescent="0.35">
      <c r="A101" s="55"/>
      <c r="B101" s="55"/>
      <c r="C101" s="49">
        <f>VLOOKUP($C$4, '3. Data - Recipients'!$A$4:$EH$40,95, FALSE)</f>
        <v>494880</v>
      </c>
      <c r="D101" s="121">
        <f>VLOOKUP($C$4, '4. Data - Income Forgone'!$A$4:$EI$37,95, FALSE)</f>
        <v>7280.77</v>
      </c>
    </row>
    <row r="102" spans="1:6" ht="15.5" x14ac:dyDescent="0.35">
      <c r="A102" s="55"/>
      <c r="B102" s="55"/>
      <c r="C102" s="49">
        <f>VLOOKUP($C$4, '3. Data - Recipients'!$A$4:$EH$40,96, FALSE)</f>
        <v>495160</v>
      </c>
      <c r="D102" s="121">
        <f>VLOOKUP($C$4, '4. Data - Income Forgone'!$A$4:$EI$37,96, FALSE)</f>
        <v>7300.3329999999996</v>
      </c>
    </row>
    <row r="103" spans="1:6" ht="15.5" x14ac:dyDescent="0.35">
      <c r="A103" s="56"/>
      <c r="B103" s="53" t="s">
        <v>56</v>
      </c>
      <c r="C103" s="54">
        <f>VLOOKUP($C$4, '3. Data - Recipients'!$A$4:$EH$40,97, FALSE)</f>
        <v>496580</v>
      </c>
      <c r="D103" s="124">
        <f>VLOOKUP($C$4, '4. Data - Income Forgone'!$A$4:$EI$37,97, FALSE)</f>
        <v>7328.0339999999997</v>
      </c>
    </row>
    <row r="104" spans="1:6" ht="15.5" x14ac:dyDescent="0.35">
      <c r="A104" s="55" t="s">
        <v>95</v>
      </c>
      <c r="B104" s="55"/>
      <c r="C104" s="46">
        <f>VLOOKUP($C$4, '3. Data - Recipients'!$A$4:$EH$40,98, FALSE)</f>
        <v>493320</v>
      </c>
      <c r="D104" s="125">
        <f>VLOOKUP($C$4, '4. Data - Income Forgone'!$A$4:$EI$37,98, FALSE)</f>
        <v>7273.8360000000002</v>
      </c>
    </row>
    <row r="105" spans="1:6" ht="15.5" x14ac:dyDescent="0.35">
      <c r="A105" s="55"/>
      <c r="B105" s="55"/>
      <c r="C105" s="49">
        <f>VLOOKUP($C$4, '3. Data - Recipients'!$A$4:$EH$40,99, FALSE)</f>
        <v>493510</v>
      </c>
      <c r="D105" s="121">
        <f>VLOOKUP($C$4, '4. Data - Income Forgone'!$A$4:$EI$37,99, FALSE)</f>
        <v>7269.7020000000002</v>
      </c>
      <c r="F105" s="18"/>
    </row>
    <row r="106" spans="1:6" ht="15.5" x14ac:dyDescent="0.35">
      <c r="A106" s="55"/>
      <c r="B106" s="55" t="s">
        <v>53</v>
      </c>
      <c r="C106" s="49">
        <f>VLOOKUP($C$4, '3. Data - Recipients'!$A$4:$EH$40,100, FALSE)</f>
        <v>490930</v>
      </c>
      <c r="D106" s="121">
        <f>VLOOKUP($C$4, '4. Data - Income Forgone'!$A$4:$EI$37,100, FALSE)</f>
        <v>7219.31</v>
      </c>
    </row>
    <row r="107" spans="1:6" ht="15.5" x14ac:dyDescent="0.35">
      <c r="A107" s="55"/>
      <c r="B107" s="55"/>
      <c r="C107" s="49">
        <f>VLOOKUP($C$4, '3. Data - Recipients'!$A$4:$EH$40,101, FALSE)</f>
        <v>487390</v>
      </c>
      <c r="D107" s="121">
        <f>VLOOKUP($C$4, '4. Data - Income Forgone'!$A$4:$EI$37,101, FALSE)</f>
        <v>7157.7650000000003</v>
      </c>
    </row>
    <row r="108" spans="1:6" ht="15.5" x14ac:dyDescent="0.35">
      <c r="A108" s="55"/>
      <c r="B108" s="55"/>
      <c r="C108" s="49">
        <f>VLOOKUP($C$4, '3. Data - Recipients'!$A$4:$EH$40,102, FALSE)</f>
        <v>485560</v>
      </c>
      <c r="D108" s="121">
        <f>VLOOKUP($C$4, '4. Data - Income Forgone'!$A$4:$EI$37,102, FALSE)</f>
        <v>7127.5060000000003</v>
      </c>
    </row>
    <row r="109" spans="1:6" ht="15.5" x14ac:dyDescent="0.35">
      <c r="A109" s="55"/>
      <c r="B109" s="55" t="s">
        <v>54</v>
      </c>
      <c r="C109" s="49">
        <f>VLOOKUP($C$4, '3. Data - Recipients'!$A$4:$EH$40,103, FALSE)</f>
        <v>482060</v>
      </c>
      <c r="D109" s="121">
        <f>VLOOKUP($C$4, '4. Data - Income Forgone'!$A$4:$EI$37,103, FALSE)</f>
        <v>7077.643</v>
      </c>
    </row>
    <row r="110" spans="1:6" ht="15.5" x14ac:dyDescent="0.35">
      <c r="A110" s="55"/>
      <c r="B110" s="55"/>
      <c r="C110" s="49">
        <f>VLOOKUP($C$4, '3. Data - Recipients'!$A$4:$EH$40,104, FALSE)</f>
        <v>479300</v>
      </c>
      <c r="D110" s="121">
        <f>VLOOKUP($C$4, '4. Data - Income Forgone'!$A$4:$EI$37,104, FALSE)</f>
        <v>7031.9110000000001</v>
      </c>
    </row>
    <row r="111" spans="1:6" ht="15.5" x14ac:dyDescent="0.35">
      <c r="A111" s="55"/>
      <c r="B111" s="55"/>
      <c r="C111" s="49">
        <f>VLOOKUP($C$4, '3. Data - Recipients'!$A$4:$EH$40,105, FALSE)</f>
        <v>477980</v>
      </c>
      <c r="D111" s="121">
        <f>VLOOKUP($C$4, '4. Data - Income Forgone'!$A$4:$EI$37,105, FALSE)</f>
        <v>7008.4930000000004</v>
      </c>
    </row>
    <row r="112" spans="1:6" ht="15.5" x14ac:dyDescent="0.35">
      <c r="A112" s="55"/>
      <c r="B112" s="55" t="s">
        <v>55</v>
      </c>
      <c r="C112" s="49">
        <f>VLOOKUP($C$4, '3. Data - Recipients'!$A$4:$EH$40,106, FALSE)</f>
        <v>474190</v>
      </c>
      <c r="D112" s="121">
        <f>VLOOKUP($C$4, '4. Data - Income Forgone'!$A$4:$EI$37,106, FALSE)</f>
        <v>6955.3779999999997</v>
      </c>
    </row>
    <row r="113" spans="1:4" ht="15.5" x14ac:dyDescent="0.25">
      <c r="C113" s="49">
        <f>VLOOKUP($C$4, '3. Data - Recipients'!$A$4:$EH$40,107, FALSE)</f>
        <v>466210</v>
      </c>
      <c r="D113" s="121">
        <f>VLOOKUP($C$4, '4. Data - Income Forgone'!$A$4:$EI$37,107, FALSE)</f>
        <v>6849.2060000000001</v>
      </c>
    </row>
    <row r="114" spans="1:4" ht="15.5" x14ac:dyDescent="0.25">
      <c r="C114" s="49">
        <f>VLOOKUP($C$4, '3. Data - Recipients'!$A$4:$EH$40,108, FALSE)</f>
        <v>462640</v>
      </c>
      <c r="D114" s="121">
        <f>VLOOKUP($C$4, '4. Data - Income Forgone'!$A$4:$EI$37,108, FALSE)</f>
        <v>6812.4009999999998</v>
      </c>
    </row>
    <row r="115" spans="1:4" ht="15.5" x14ac:dyDescent="0.35">
      <c r="B115" s="55" t="s">
        <v>56</v>
      </c>
      <c r="C115" s="49">
        <f>VLOOKUP($C$4, '3. Data - Recipients'!$A$4:$EH$40,109, FALSE)</f>
        <v>462670</v>
      </c>
      <c r="D115" s="121">
        <f>VLOOKUP($C$4, '4. Data - Income Forgone'!$A$4:$EI$37,109, FALSE)</f>
        <v>6829.1689999999999</v>
      </c>
    </row>
    <row r="116" spans="1:4" ht="15.5" x14ac:dyDescent="0.35">
      <c r="A116" s="120" t="s">
        <v>113</v>
      </c>
      <c r="B116" s="120"/>
      <c r="C116" s="46">
        <f>VLOOKUP($C$4, '3. Data - Recipients'!$A$4:$EH$40,110, FALSE)</f>
        <v>460760</v>
      </c>
      <c r="D116" s="125">
        <f>VLOOKUP($C$4, '4. Data - Income Forgone'!$A$4:$EI$37,110, FALSE)</f>
        <v>7128.1930000000002</v>
      </c>
    </row>
    <row r="117" spans="1:4" ht="15.5" x14ac:dyDescent="0.35">
      <c r="A117" s="55"/>
      <c r="B117" s="55"/>
      <c r="C117" s="49">
        <f>VLOOKUP($C$4, '3. Data - Recipients'!$A$4:$EH$40,111, FALSE)</f>
        <v>462020</v>
      </c>
      <c r="D117" s="121">
        <f>VLOOKUP($C$4, '4. Data - Income Forgone'!$A$4:$EI$37,111, FALSE)</f>
        <v>7151.5389999999998</v>
      </c>
    </row>
    <row r="118" spans="1:4" ht="15.5" x14ac:dyDescent="0.35">
      <c r="B118" s="55" t="s">
        <v>53</v>
      </c>
      <c r="C118" s="49">
        <f>VLOOKUP($C$4, '3. Data - Recipients'!$A$4:$EH$40,112, FALSE)</f>
        <v>460760</v>
      </c>
      <c r="D118" s="121">
        <f>VLOOKUP($C$4, '4. Data - Income Forgone'!$A$4:$EI$37,112, FALSE)</f>
        <v>7129.54</v>
      </c>
    </row>
    <row r="119" spans="1:4" ht="15.5" x14ac:dyDescent="0.35">
      <c r="B119" s="55"/>
      <c r="C119" s="49">
        <f>VLOOKUP($C$4, '3. Data - Recipients'!$A$4:$EH$40,113, FALSE)</f>
        <v>460990</v>
      </c>
      <c r="D119" s="121">
        <f>VLOOKUP($C$4, '4. Data - Income Forgone'!$A$4:$EI$37,113, FALSE)</f>
        <v>7130.8720000000003</v>
      </c>
    </row>
    <row r="120" spans="1:4" ht="15.5" x14ac:dyDescent="0.35">
      <c r="B120" s="55"/>
      <c r="C120" s="49">
        <f>VLOOKUP($C$4, '3. Data - Recipients'!$A$4:$EH$40,114, FALSE)</f>
        <v>462160</v>
      </c>
      <c r="D120" s="121">
        <f>VLOOKUP($C$4, '4. Data - Income Forgone'!$A$4:$EI$37,114, FALSE)</f>
        <v>7149.5020000000004</v>
      </c>
    </row>
    <row r="121" spans="1:4" ht="15.5" x14ac:dyDescent="0.35">
      <c r="B121" s="55" t="s">
        <v>54</v>
      </c>
      <c r="C121" s="49">
        <f>VLOOKUP($C$4, '3. Data - Recipients'!$A$4:$EH$40,115, FALSE)</f>
        <v>462200</v>
      </c>
      <c r="D121" s="121">
        <f>VLOOKUP($C$4, '4. Data - Income Forgone'!$A$4:$EI$37,115, FALSE)</f>
        <v>7150.3909999999996</v>
      </c>
    </row>
    <row r="122" spans="1:4" ht="15.5" x14ac:dyDescent="0.35">
      <c r="B122" s="55"/>
      <c r="C122" s="49">
        <f>VLOOKUP($C$4, '3. Data - Recipients'!$A$4:$EH$40,116, FALSE)</f>
        <v>456790</v>
      </c>
      <c r="D122" s="121">
        <f>VLOOKUP($C$4, '4. Data - Income Forgone'!$A$4:$EI$37,116, FALSE)</f>
        <v>7071.7860000000001</v>
      </c>
    </row>
    <row r="123" spans="1:4" ht="15.5" x14ac:dyDescent="0.35">
      <c r="B123" s="55"/>
      <c r="C123" s="49">
        <f>VLOOKUP($C$4, '3. Data - Recipients'!$A$4:$EH$40,117, FALSE)</f>
        <v>455220</v>
      </c>
      <c r="D123" s="121">
        <f>VLOOKUP($C$4, '4. Data - Income Forgone'!$A$4:$EI$37,117, FALSE)</f>
        <v>7043.4740000000002</v>
      </c>
    </row>
    <row r="124" spans="1:4" ht="15.5" x14ac:dyDescent="0.35">
      <c r="B124" s="55" t="s">
        <v>55</v>
      </c>
      <c r="C124" s="49">
        <f>VLOOKUP($C$4, '3. Data - Recipients'!$A$4:$EH$40,118, FALSE)</f>
        <v>454180</v>
      </c>
      <c r="D124" s="121">
        <f>VLOOKUP($C$4, '4. Data - Income Forgone'!$A$4:$EI$37,118, FALSE)</f>
        <v>7023.5460000000003</v>
      </c>
    </row>
    <row r="125" spans="1:4" ht="15.5" x14ac:dyDescent="0.25">
      <c r="C125" s="49">
        <f>VLOOKUP($C$4, '3. Data - Recipients'!$A$4:$EH$40,119, FALSE)</f>
        <v>458060</v>
      </c>
      <c r="D125" s="121">
        <f>VLOOKUP($C$4, '4. Data - Income Forgone'!$A$4:$EI$37,119, FALSE)</f>
        <v>7077.0460000000003</v>
      </c>
    </row>
    <row r="126" spans="1:4" ht="15.5" x14ac:dyDescent="0.25">
      <c r="C126" s="49">
        <f>VLOOKUP($C$4, '3. Data - Recipients'!$A$4:$EH$40,120, FALSE)</f>
        <v>457840</v>
      </c>
      <c r="D126" s="121">
        <f>VLOOKUP($C$4, '4. Data - Income Forgone'!$A$4:$EI$37,120, FALSE)</f>
        <v>7081.2610000000004</v>
      </c>
    </row>
    <row r="127" spans="1:4" ht="15.5" x14ac:dyDescent="0.35">
      <c r="B127" s="55" t="s">
        <v>56</v>
      </c>
      <c r="C127" s="49">
        <f>VLOOKUP($C$4, '3. Data - Recipients'!$A$4:$EH$40,121, FALSE)</f>
        <v>454350</v>
      </c>
      <c r="D127" s="121">
        <f>VLOOKUP($C$4, '4. Data - Income Forgone'!$A$4:$EI$37,121, FALSE)</f>
        <v>7364.2550000000001</v>
      </c>
    </row>
    <row r="128" spans="1:4" ht="15.5" x14ac:dyDescent="0.35">
      <c r="A128" s="120" t="s">
        <v>115</v>
      </c>
      <c r="B128" s="120"/>
      <c r="C128" s="46">
        <f>VLOOKUP($C$4, '3. Data - Recipients'!$A$4:$EH$40,122, FALSE)</f>
        <v>454330</v>
      </c>
      <c r="D128" s="125">
        <f>VLOOKUP($C$4, '4. Data - Income Forgone'!$A$4:$EI$37,122, FALSE)</f>
        <v>7436.5020000000004</v>
      </c>
    </row>
    <row r="129" spans="1:4" ht="15.5" x14ac:dyDescent="0.35">
      <c r="A129" s="55"/>
      <c r="B129" s="55"/>
      <c r="C129" s="49">
        <f>VLOOKUP($C$4, '3. Data - Recipients'!$A$4:$EH$40,123, FALSE)</f>
        <v>460720</v>
      </c>
      <c r="D129" s="121">
        <f>VLOOKUP($C$4, '4. Data - Income Forgone'!$A$4:$EI$37,123, FALSE)</f>
        <v>7529.9359999999997</v>
      </c>
    </row>
    <row r="130" spans="1:4" ht="15.5" x14ac:dyDescent="0.35">
      <c r="B130" s="55" t="s">
        <v>53</v>
      </c>
      <c r="C130" s="49">
        <f>VLOOKUP($C$4, '3. Data - Recipients'!$A$4:$EH$40,124, FALSE)</f>
        <v>458940</v>
      </c>
      <c r="D130" s="121">
        <f>VLOOKUP($C$4, '4. Data - Income Forgone'!$A$4:$EI$37,124, FALSE)</f>
        <v>7487.5249999999996</v>
      </c>
    </row>
    <row r="131" spans="1:4" ht="15.5" x14ac:dyDescent="0.35">
      <c r="B131" s="55"/>
      <c r="C131" s="49">
        <f>VLOOKUP($C$4, '3. Data - Recipients'!$A$4:$EH$40,125, FALSE)</f>
        <v>460600</v>
      </c>
      <c r="D131" s="121">
        <f>VLOOKUP($C$4, '4. Data - Income Forgone'!$A$4:$EI$37,125, FALSE)</f>
        <v>7509.8109999999997</v>
      </c>
    </row>
    <row r="132" spans="1:4" ht="15.5" x14ac:dyDescent="0.35">
      <c r="B132" s="55"/>
      <c r="C132" s="141">
        <f>VLOOKUP($C$4, '3. Data - Recipients'!$A$4:$EH$40,126, FALSE)</f>
        <v>460820</v>
      </c>
      <c r="D132" s="142">
        <f>VLOOKUP($C$4, '4. Data - Income Forgone'!$A$4:$EI$37,126, FALSE)</f>
        <v>7512.6490000000003</v>
      </c>
    </row>
    <row r="133" spans="1:4" ht="15.5" x14ac:dyDescent="0.35">
      <c r="B133" s="55" t="s">
        <v>54</v>
      </c>
      <c r="C133" s="141">
        <f>VLOOKUP($C$4, '3. Data - Recipients'!$A$4:$EH$40,127, FALSE)</f>
        <v>460750</v>
      </c>
      <c r="D133" s="142">
        <f>VLOOKUP($C$4, '4. Data - Income Forgone'!$A$4:$EI$37,127, FALSE)</f>
        <v>7515.5990000000002</v>
      </c>
    </row>
    <row r="134" spans="1:4" ht="15.5" x14ac:dyDescent="0.35">
      <c r="B134" s="55"/>
      <c r="C134" s="141">
        <f>VLOOKUP($C$4, '3. Data - Recipients'!$A$4:$EH$40,128, FALSE)</f>
        <v>460860</v>
      </c>
      <c r="D134" s="142">
        <f>VLOOKUP($C$4, '4. Data - Income Forgone'!$A$4:$EI$37,128, FALSE)</f>
        <v>7519.625</v>
      </c>
    </row>
    <row r="135" spans="1:4" ht="15.5" x14ac:dyDescent="0.35">
      <c r="B135" s="55"/>
      <c r="C135" s="141">
        <f>VLOOKUP($C$4, '3. Data - Recipients'!$A$4:$EH$40,129, FALSE)</f>
        <v>459900</v>
      </c>
      <c r="D135" s="142">
        <f>VLOOKUP($C$4, '4. Data - Income Forgone'!$A$4:$EI$37,129, FALSE)</f>
        <v>7511.0309999999999</v>
      </c>
    </row>
    <row r="136" spans="1:4" ht="15.5" x14ac:dyDescent="0.35">
      <c r="B136" s="55" t="s">
        <v>55</v>
      </c>
      <c r="C136" s="141">
        <f>VLOOKUP($C$4, '3. Data - Recipients'!$A$4:$EH$40,130, FALSE)</f>
        <v>460830</v>
      </c>
      <c r="D136" s="142">
        <f>VLOOKUP($C$4, '4. Data - Income Forgone'!$A$4:$EI$37,130, FALSE)</f>
        <v>7523.7640000000001</v>
      </c>
    </row>
    <row r="137" spans="1:4" ht="15.5" x14ac:dyDescent="0.35">
      <c r="B137" s="55"/>
      <c r="C137" s="49">
        <v>458220</v>
      </c>
      <c r="D137" s="121">
        <f>VLOOKUP($C$4, '4. Data - Income Forgone'!$A$4:$EI$37,131, FALSE)</f>
        <v>7478.9219999999996</v>
      </c>
    </row>
  </sheetData>
  <mergeCells count="3">
    <mergeCell ref="H7:I7"/>
    <mergeCell ref="H8:I8"/>
    <mergeCell ref="H9:I9"/>
  </mergeCells>
  <dataValidations count="1">
    <dataValidation type="list" sqref="C4" xr:uid="{00000000-0002-0000-0300-000000000000}">
      <formula1>LAs</formula1>
    </dataValidation>
  </dataValidations>
  <hyperlinks>
    <hyperlink ref="S1" location="Contents!A1" display="Return to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A1:V42"/>
  <sheetViews>
    <sheetView zoomScale="70" zoomScaleNormal="70" workbookViewId="0">
      <selection activeCell="I6" sqref="I6"/>
    </sheetView>
  </sheetViews>
  <sheetFormatPr defaultColWidth="9.1796875" defaultRowHeight="12.5" x14ac:dyDescent="0.25"/>
  <cols>
    <col min="1" max="1" width="24.1796875" style="1" customWidth="1"/>
    <col min="2" max="2" width="16.81640625" style="1" customWidth="1"/>
    <col min="3" max="3" width="19.81640625" style="1" customWidth="1"/>
    <col min="4" max="4" width="6.453125" style="1" customWidth="1"/>
    <col min="5" max="16384" width="9.1796875" style="1"/>
  </cols>
  <sheetData>
    <row r="1" spans="1:22" ht="15.5" x14ac:dyDescent="0.35">
      <c r="A1" s="23" t="s">
        <v>101</v>
      </c>
      <c r="V1" s="58" t="s">
        <v>66</v>
      </c>
    </row>
    <row r="2" spans="1:22" ht="15.5" x14ac:dyDescent="0.35">
      <c r="A2" s="55" t="s">
        <v>96</v>
      </c>
    </row>
    <row r="3" spans="1:22" ht="15.5" x14ac:dyDescent="0.35">
      <c r="A3" s="23"/>
      <c r="V3" s="58"/>
    </row>
    <row r="4" spans="1:22" ht="15.5" x14ac:dyDescent="0.35">
      <c r="A4" s="13" t="s">
        <v>36</v>
      </c>
      <c r="B4" s="17">
        <v>45292</v>
      </c>
      <c r="C4" s="23" t="s">
        <v>62</v>
      </c>
      <c r="F4" s="14"/>
      <c r="G4"/>
    </row>
    <row r="5" spans="1:22" ht="18" x14ac:dyDescent="0.4">
      <c r="A5" s="10"/>
      <c r="F5" s="14"/>
    </row>
    <row r="6" spans="1:22" s="12" customFormat="1" ht="15.5" x14ac:dyDescent="0.35">
      <c r="A6" s="111" t="s">
        <v>38</v>
      </c>
      <c r="B6" s="112">
        <f>B4</f>
        <v>45292</v>
      </c>
      <c r="C6" s="57"/>
    </row>
    <row r="7" spans="1:22" ht="45" customHeight="1" x14ac:dyDescent="0.25">
      <c r="A7" s="42" t="s">
        <v>37</v>
      </c>
      <c r="B7" s="40" t="s">
        <v>33</v>
      </c>
      <c r="C7" s="43" t="s">
        <v>43</v>
      </c>
    </row>
    <row r="8" spans="1:22" ht="20.149999999999999" customHeight="1" x14ac:dyDescent="0.25">
      <c r="A8" s="101" t="s">
        <v>0</v>
      </c>
      <c r="B8" s="108">
        <f>HLOOKUP($B$4, '3. Data - Recipients'!$A$4:$EH$37, 2, FALSE)</f>
        <v>458220</v>
      </c>
      <c r="C8" s="102">
        <f>HLOOKUP($B$4, '4. Data - Income Forgone'!$A$4:$EI$37, 2, FALSE)</f>
        <v>7478.9219999999996</v>
      </c>
    </row>
    <row r="9" spans="1:22" ht="15" customHeight="1" x14ac:dyDescent="0.25">
      <c r="A9" s="103" t="s">
        <v>1</v>
      </c>
      <c r="B9" s="109">
        <f>HLOOKUP($B$4, '3. Data - Recipients'!$A$4:$EH$37, 3, FALSE)</f>
        <v>14300</v>
      </c>
      <c r="C9" s="104">
        <f>HLOOKUP($B$4, '4. Data - Income Forgone'!$A$4:$EI$37, 3, FALSE)</f>
        <v>238.184</v>
      </c>
    </row>
    <row r="10" spans="1:22" ht="15" customHeight="1" x14ac:dyDescent="0.25">
      <c r="A10" s="103" t="s">
        <v>2</v>
      </c>
      <c r="B10" s="109">
        <f>HLOOKUP($B$4, '3. Data - Recipients'!$A$4:$EH$37, 4, FALSE)</f>
        <v>11570</v>
      </c>
      <c r="C10" s="104">
        <f>HLOOKUP($B$4, '4. Data - Income Forgone'!$A$4:$EI$37, 4, FALSE)</f>
        <v>187.38200000000001</v>
      </c>
    </row>
    <row r="11" spans="1:22" ht="15" customHeight="1" x14ac:dyDescent="0.25">
      <c r="A11" s="103" t="s">
        <v>3</v>
      </c>
      <c r="B11" s="109">
        <f>HLOOKUP($B$4, '3. Data - Recipients'!$A$4:$EH$37, 5, FALSE)</f>
        <v>8130</v>
      </c>
      <c r="C11" s="104">
        <f>HLOOKUP($B$4, '4. Data - Income Forgone'!$A$4:$EI$37, 5, FALSE)</f>
        <v>116.68</v>
      </c>
    </row>
    <row r="12" spans="1:22" ht="15" customHeight="1" x14ac:dyDescent="0.25">
      <c r="A12" s="105" t="s">
        <v>4</v>
      </c>
      <c r="B12" s="109">
        <f>HLOOKUP($B$4, '3. Data - Recipients'!$A$4:$EH$37, 6, FALSE)</f>
        <v>6560</v>
      </c>
      <c r="C12" s="104">
        <f>HLOOKUP($B$4, '4. Data - Income Forgone'!$A$4:$EI$37, 6, FALSE)</f>
        <v>115.848</v>
      </c>
    </row>
    <row r="13" spans="1:22" ht="15" customHeight="1" x14ac:dyDescent="0.25">
      <c r="A13" s="103" t="s">
        <v>39</v>
      </c>
      <c r="B13" s="109">
        <f>HLOOKUP($B$4, '3. Data - Recipients'!$A$4:$EH$37,7, FALSE)</f>
        <v>30790</v>
      </c>
      <c r="C13" s="104">
        <f>HLOOKUP($B$4, '4. Data - Income Forgone'!$A$4:$EI$37, 7, FALSE)</f>
        <v>539.495</v>
      </c>
    </row>
    <row r="14" spans="1:22" ht="15" customHeight="1" x14ac:dyDescent="0.25">
      <c r="A14" s="105" t="s">
        <v>5</v>
      </c>
      <c r="B14" s="109">
        <f>HLOOKUP($B$4, '3. Data - Recipients'!$A$4:$EH$37, 8, FALSE)</f>
        <v>5190</v>
      </c>
      <c r="C14" s="104">
        <f>HLOOKUP($B$4, '4. Data - Income Forgone'!$A$4:$EI$37, 8, FALSE)</f>
        <v>80.275000000000006</v>
      </c>
    </row>
    <row r="15" spans="1:22" ht="15" customHeight="1" x14ac:dyDescent="0.25">
      <c r="A15" s="106" t="s">
        <v>6</v>
      </c>
      <c r="B15" s="109">
        <f>HLOOKUP($B$4, '3. Data - Recipients'!$A$4:$EH$37, 9, FALSE)</f>
        <v>13450</v>
      </c>
      <c r="C15" s="104">
        <f>HLOOKUP($B$4, '4. Data - Income Forgone'!$A$4:$EI$37, 9, FALSE)</f>
        <v>206.27099999999999</v>
      </c>
    </row>
    <row r="16" spans="1:22" ht="15" customHeight="1" x14ac:dyDescent="0.25">
      <c r="A16" s="106" t="s">
        <v>7</v>
      </c>
      <c r="B16" s="109">
        <f>HLOOKUP($B$4, '3. Data - Recipients'!$A$4:$EH$37, 10, FALSE)</f>
        <v>16500</v>
      </c>
      <c r="C16" s="104">
        <f>HLOOKUP($B$4, '4. Data - Income Forgone'!$A$4:$EI$37, 10, FALSE)</f>
        <v>261.81799999999998</v>
      </c>
    </row>
    <row r="17" spans="1:3" ht="15" customHeight="1" x14ac:dyDescent="0.25">
      <c r="A17" s="106" t="s">
        <v>8</v>
      </c>
      <c r="B17" s="109">
        <f>HLOOKUP($B$4, '3. Data - Recipients'!$A$4:$EH$37,11, FALSE)</f>
        <v>12690</v>
      </c>
      <c r="C17" s="104">
        <f>HLOOKUP($B$4, '4. Data - Income Forgone'!$A$4:$EI$37, 11, FALSE)</f>
        <v>200.81800000000001</v>
      </c>
    </row>
    <row r="18" spans="1:3" ht="15" customHeight="1" x14ac:dyDescent="0.25">
      <c r="A18" s="106" t="s">
        <v>9</v>
      </c>
      <c r="B18" s="109">
        <f>HLOOKUP($B$4, '3. Data - Recipients'!$A$4:$EH$37, 12, FALSE)</f>
        <v>5280</v>
      </c>
      <c r="C18" s="104">
        <f>HLOOKUP($B$4, '4. Data - Income Forgone'!$A$4:$EI$37, 12, FALSE)</f>
        <v>102.251</v>
      </c>
    </row>
    <row r="19" spans="1:3" ht="15" customHeight="1" x14ac:dyDescent="0.25">
      <c r="A19" s="106" t="s">
        <v>10</v>
      </c>
      <c r="B19" s="109">
        <f>HLOOKUP($B$4, '3. Data - Recipients'!$A$4:$EH$37, 13, FALSE)</f>
        <v>6610</v>
      </c>
      <c r="C19" s="104">
        <f>HLOOKUP($B$4, '4. Data - Income Forgone'!$A$4:$EI$37, 13, FALSE)</f>
        <v>117.41500000000001</v>
      </c>
    </row>
    <row r="20" spans="1:3" ht="15" customHeight="1" x14ac:dyDescent="0.25">
      <c r="A20" s="106" t="s">
        <v>11</v>
      </c>
      <c r="B20" s="109">
        <f>HLOOKUP($B$4, '3. Data - Recipients'!$A$4:$EH$37, 14, FALSE)</f>
        <v>4410</v>
      </c>
      <c r="C20" s="104">
        <f>HLOOKUP($B$4, '4. Data - Income Forgone'!$A$4:$EI$37, 14, FALSE)</f>
        <v>85.194000000000003</v>
      </c>
    </row>
    <row r="21" spans="1:3" ht="15" customHeight="1" x14ac:dyDescent="0.25">
      <c r="A21" s="103" t="s">
        <v>12</v>
      </c>
      <c r="B21" s="109">
        <f>HLOOKUP($B$4, '3. Data - Recipients'!$A$4:$EH$37, 15, FALSE)</f>
        <v>13300</v>
      </c>
      <c r="C21" s="104">
        <f>HLOOKUP($B$4, '4. Data - Income Forgone'!$A$4:$EI$37, 15, FALSE)</f>
        <v>193.45</v>
      </c>
    </row>
    <row r="22" spans="1:3" ht="15" customHeight="1" x14ac:dyDescent="0.25">
      <c r="A22" s="103" t="s">
        <v>13</v>
      </c>
      <c r="B22" s="109">
        <f>HLOOKUP($B$4, '3. Data - Recipients'!$A$4:$EH$37, 16, FALSE)</f>
        <v>29490</v>
      </c>
      <c r="C22" s="104">
        <f>HLOOKUP($B$4, '4. Data - Income Forgone'!$A$4:$EI$37, 16, FALSE)</f>
        <v>450.90800000000002</v>
      </c>
    </row>
    <row r="23" spans="1:3" ht="15" customHeight="1" x14ac:dyDescent="0.25">
      <c r="A23" s="106" t="s">
        <v>14</v>
      </c>
      <c r="B23" s="109">
        <f>HLOOKUP($B$4, '3. Data - Recipients'!$A$4:$EH$37, 17, FALSE)</f>
        <v>83590</v>
      </c>
      <c r="C23" s="104">
        <f>HLOOKUP($B$4, '4. Data - Income Forgone'!$A$4:$EI$37, 17, FALSE)</f>
        <v>1486.5440000000001</v>
      </c>
    </row>
    <row r="24" spans="1:3" ht="15" customHeight="1" x14ac:dyDescent="0.25">
      <c r="A24" s="106" t="s">
        <v>15</v>
      </c>
      <c r="B24" s="109">
        <f>HLOOKUP($B$4, '3. Data - Recipients'!$A$4:$EH$37, 18, FALSE)</f>
        <v>16020</v>
      </c>
      <c r="C24" s="104">
        <f>HLOOKUP($B$4, '4. Data - Income Forgone'!$A$4:$EI$37, 18, FALSE)</f>
        <v>268.25099999999998</v>
      </c>
    </row>
    <row r="25" spans="1:3" ht="15" customHeight="1" x14ac:dyDescent="0.25">
      <c r="A25" s="106" t="s">
        <v>16</v>
      </c>
      <c r="B25" s="109">
        <f>HLOOKUP($B$4, '3. Data - Recipients'!$A$4:$EH$37, 19, FALSE)</f>
        <v>9250</v>
      </c>
      <c r="C25" s="104">
        <f>HLOOKUP($B$4, '4. Data - Income Forgone'!$A$4:$EI$37, 19, FALSE)</f>
        <v>143.316</v>
      </c>
    </row>
    <row r="26" spans="1:3" ht="15" customHeight="1" x14ac:dyDescent="0.25">
      <c r="A26" s="106" t="s">
        <v>17</v>
      </c>
      <c r="B26" s="109">
        <f>HLOOKUP($B$4, '3. Data - Recipients'!$A$4:$EH$37, 20, FALSE)</f>
        <v>5910</v>
      </c>
      <c r="C26" s="104">
        <f>HLOOKUP($B$4, '4. Data - Income Forgone'!$A$4:$EI$37, 20, FALSE)</f>
        <v>108.876</v>
      </c>
    </row>
    <row r="27" spans="1:3" ht="15" customHeight="1" x14ac:dyDescent="0.25">
      <c r="A27" s="106" t="s">
        <v>18</v>
      </c>
      <c r="B27" s="109">
        <f>HLOOKUP($B$4, '3. Data - Recipients'!$A$4:$EH$37, 21, FALSE)</f>
        <v>5290</v>
      </c>
      <c r="C27" s="104">
        <f>HLOOKUP($B$4, '4. Data - Income Forgone'!$A$4:$EI$37, 21, FALSE)</f>
        <v>82.582999999999998</v>
      </c>
    </row>
    <row r="28" spans="1:3" ht="15" customHeight="1" x14ac:dyDescent="0.25">
      <c r="A28" s="103" t="s">
        <v>40</v>
      </c>
      <c r="B28" s="109">
        <f>HLOOKUP($B$4, '3. Data - Recipients'!$A$4:$EH$37, 22, FALSE)</f>
        <v>1850</v>
      </c>
      <c r="C28" s="104">
        <f>HLOOKUP($B$4, '4. Data - Income Forgone'!$A$4:$EI$37, 22, FALSE)</f>
        <v>26.231000000000002</v>
      </c>
    </row>
    <row r="29" spans="1:3" ht="15" customHeight="1" x14ac:dyDescent="0.25">
      <c r="A29" s="106" t="s">
        <v>19</v>
      </c>
      <c r="B29" s="109">
        <f>HLOOKUP($B$4, '3. Data - Recipients'!$A$4:$EH$37, 23, FALSE)</f>
        <v>17100</v>
      </c>
      <c r="C29" s="104">
        <f>HLOOKUP($B$4, '4. Data - Income Forgone'!$A$4:$EI$37, 23, FALSE)</f>
        <v>275.67700000000002</v>
      </c>
    </row>
    <row r="30" spans="1:3" ht="15" customHeight="1" x14ac:dyDescent="0.25">
      <c r="A30" s="106" t="s">
        <v>20</v>
      </c>
      <c r="B30" s="109">
        <f>HLOOKUP($B$4, '3. Data - Recipients'!$A$4:$EH$37, 24, FALSE)</f>
        <v>34950</v>
      </c>
      <c r="C30" s="104">
        <f>HLOOKUP($B$4, '4. Data - Income Forgone'!$A$4:$EI$37, 24, FALSE)</f>
        <v>504.88200000000001</v>
      </c>
    </row>
    <row r="31" spans="1:3" ht="15" customHeight="1" x14ac:dyDescent="0.25">
      <c r="A31" s="106" t="s">
        <v>21</v>
      </c>
      <c r="B31" s="109">
        <f>HLOOKUP($B$4, '3. Data - Recipients'!$A$4:$EH$37, 25, FALSE)</f>
        <v>1270</v>
      </c>
      <c r="C31" s="104">
        <f>HLOOKUP($B$4, '4. Data - Income Forgone'!$A$4:$EI$37, 25, FALSE)</f>
        <v>20.097000000000001</v>
      </c>
    </row>
    <row r="32" spans="1:3" ht="15" customHeight="1" x14ac:dyDescent="0.25">
      <c r="A32" s="106" t="s">
        <v>22</v>
      </c>
      <c r="B32" s="109">
        <f>HLOOKUP($B$4, '3. Data - Recipients'!$A$4:$EH$37, 26, FALSE)</f>
        <v>8790</v>
      </c>
      <c r="C32" s="104">
        <f>HLOOKUP($B$4, '4. Data - Income Forgone'!$A$4:$EI$37, 26, FALSE)</f>
        <v>146.16</v>
      </c>
    </row>
    <row r="33" spans="1:3" ht="15" customHeight="1" x14ac:dyDescent="0.25">
      <c r="A33" s="103" t="s">
        <v>23</v>
      </c>
      <c r="B33" s="109">
        <f>HLOOKUP($B$4, '3. Data - Recipients'!$A$4:$EH$37, 27, FALSE)</f>
        <v>16100</v>
      </c>
      <c r="C33" s="104">
        <f>HLOOKUP($B$4, '4. Data - Income Forgone'!$A$4:$EI$37, 27, FALSE)</f>
        <v>272.27600000000001</v>
      </c>
    </row>
    <row r="34" spans="1:3" ht="15" customHeight="1" x14ac:dyDescent="0.25">
      <c r="A34" s="103" t="s">
        <v>24</v>
      </c>
      <c r="B34" s="109">
        <f>HLOOKUP($B$4, '3. Data - Recipients'!$A$4:$EH$37, 28, FALSE)</f>
        <v>7690</v>
      </c>
      <c r="C34" s="104">
        <f>HLOOKUP($B$4, '4. Data - Income Forgone'!$A$4:$EI$37, 28, FALSE)</f>
        <v>113.163</v>
      </c>
    </row>
    <row r="35" spans="1:3" ht="15" customHeight="1" x14ac:dyDescent="0.35">
      <c r="A35" s="47" t="s">
        <v>25</v>
      </c>
      <c r="B35" s="109">
        <f>HLOOKUP($B$4, '3. Data - Recipients'!$A$4:$EH$37, 29, FALSE)</f>
        <v>1080</v>
      </c>
      <c r="C35" s="104">
        <f>HLOOKUP($B$4, '4. Data - Income Forgone'!$A$4:$EI$37, 29, FALSE)</f>
        <v>15.359</v>
      </c>
    </row>
    <row r="36" spans="1:3" ht="15" customHeight="1" x14ac:dyDescent="0.35">
      <c r="A36" s="47" t="s">
        <v>26</v>
      </c>
      <c r="B36" s="109">
        <f>HLOOKUP($B$4, '3. Data - Recipients'!$A$4:$EH$37, 30, FALSE)</f>
        <v>9820</v>
      </c>
      <c r="C36" s="104">
        <f>HLOOKUP($B$4, '4. Data - Income Forgone'!$A$4:$EI$37, 30, FALSE)</f>
        <v>174.637</v>
      </c>
    </row>
    <row r="37" spans="1:3" ht="15" customHeight="1" x14ac:dyDescent="0.35">
      <c r="A37" s="47" t="s">
        <v>27</v>
      </c>
      <c r="B37" s="109">
        <f>HLOOKUP($B$4, '3. Data - Recipients'!$A$4:$EH$37, 31, FALSE)</f>
        <v>30810</v>
      </c>
      <c r="C37" s="104">
        <f>HLOOKUP($B$4, '4. Data - Income Forgone'!$A$4:$EI$37, 31, FALSE)</f>
        <v>449.43</v>
      </c>
    </row>
    <row r="38" spans="1:3" ht="15" customHeight="1" x14ac:dyDescent="0.35">
      <c r="A38" s="47" t="s">
        <v>28</v>
      </c>
      <c r="B38" s="109">
        <f>HLOOKUP($B$4, '3. Data - Recipients'!$A$4:$EH$37, 32, FALSE)</f>
        <v>5430</v>
      </c>
      <c r="C38" s="104">
        <f>HLOOKUP($B$4, '4. Data - Income Forgone'!$A$4:$EI$37, 32, FALSE)</f>
        <v>95.619</v>
      </c>
    </row>
    <row r="39" spans="1:3" ht="15" customHeight="1" x14ac:dyDescent="0.35">
      <c r="A39" s="47" t="s">
        <v>29</v>
      </c>
      <c r="B39" s="109">
        <f>HLOOKUP($B$4, '3. Data - Recipients'!$A$4:$EH$37, 33, FALSE)</f>
        <v>10480</v>
      </c>
      <c r="C39" s="104">
        <f>HLOOKUP($B$4, '4. Data - Income Forgone'!$A$4:$EI$37, 33, FALSE)</f>
        <v>173.71899999999999</v>
      </c>
    </row>
    <row r="40" spans="1:3" ht="15" customHeight="1" x14ac:dyDescent="0.35">
      <c r="A40" s="52" t="s">
        <v>30</v>
      </c>
      <c r="B40" s="110">
        <f>HLOOKUP($B$4, '3. Data - Recipients'!$A$4:$EH$37, 34, FALSE)</f>
        <v>14560</v>
      </c>
      <c r="C40" s="107">
        <f>HLOOKUP($B$4, '4. Data - Income Forgone'!$A$4:$EI$37, 34, FALSE)</f>
        <v>226.113</v>
      </c>
    </row>
    <row r="41" spans="1:3" ht="15" customHeight="1" x14ac:dyDescent="0.25">
      <c r="B41" s="16"/>
      <c r="C41" s="16"/>
    </row>
    <row r="42" spans="1:3" x14ac:dyDescent="0.25">
      <c r="B42" s="16"/>
      <c r="C42" s="16"/>
    </row>
  </sheetData>
  <sortState xmlns:xlrd2="http://schemas.microsoft.com/office/spreadsheetml/2017/richdata2" ref="A6:C37">
    <sortCondition ref="A6:A37"/>
  </sortState>
  <hyperlinks>
    <hyperlink ref="V1" location="Contents!A1" display="Return to Contents" xr:uid="{00000000-0004-0000-04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xr:uid="{00000000-0002-0000-0400-000000000000}">
          <x14:formula1>
            <xm:f>'3. Data - Recipients'!$B$4:$EI$4</xm:f>
          </x14:formula1>
          <xm:sqref>B4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sheetPr>
  <dimension ref="A1:EA42"/>
  <sheetViews>
    <sheetView zoomScaleNormal="100" workbookViewId="0">
      <selection activeCell="EA6" sqref="EA6:EA37"/>
    </sheetView>
  </sheetViews>
  <sheetFormatPr defaultColWidth="9.1796875" defaultRowHeight="12.5" x14ac:dyDescent="0.25"/>
  <cols>
    <col min="1" max="1" width="24.1796875" style="1" customWidth="1"/>
    <col min="2" max="101" width="12.81640625" style="1" customWidth="1"/>
    <col min="102" max="102" width="12.1796875" style="1" customWidth="1"/>
    <col min="103" max="118" width="12.81640625" style="1" customWidth="1"/>
    <col min="119" max="123" width="13" style="1" customWidth="1"/>
    <col min="124" max="124" width="12.7265625" style="1" bestFit="1" customWidth="1"/>
    <col min="125" max="131" width="12.7265625" style="1" customWidth="1"/>
    <col min="132" max="16384" width="9.1796875" style="1"/>
  </cols>
  <sheetData>
    <row r="1" spans="1:131" ht="15.5" x14ac:dyDescent="0.35">
      <c r="A1" s="23" t="s">
        <v>123</v>
      </c>
      <c r="DG1" s="58"/>
      <c r="DI1" s="58"/>
      <c r="DJ1" s="58"/>
      <c r="DO1" s="58"/>
      <c r="DQ1" s="58"/>
      <c r="DR1" s="58"/>
      <c r="DY1" s="58" t="s">
        <v>66</v>
      </c>
    </row>
    <row r="2" spans="1:131" ht="15.5" x14ac:dyDescent="0.35">
      <c r="A2" s="23"/>
    </row>
    <row r="3" spans="1:131" ht="15.5" x14ac:dyDescent="0.35">
      <c r="A3" s="23"/>
    </row>
    <row r="4" spans="1:131" ht="35.15" customHeight="1" x14ac:dyDescent="0.25">
      <c r="A4" s="81" t="s">
        <v>37</v>
      </c>
      <c r="B4" s="59">
        <v>41365</v>
      </c>
      <c r="C4" s="59">
        <v>41395</v>
      </c>
      <c r="D4" s="59">
        <v>41426</v>
      </c>
      <c r="E4" s="59">
        <v>41456</v>
      </c>
      <c r="F4" s="59">
        <v>41487</v>
      </c>
      <c r="G4" s="59">
        <v>41518</v>
      </c>
      <c r="H4" s="59">
        <v>41548</v>
      </c>
      <c r="I4" s="59">
        <v>41579</v>
      </c>
      <c r="J4" s="59">
        <v>41609</v>
      </c>
      <c r="K4" s="59">
        <v>41640</v>
      </c>
      <c r="L4" s="59">
        <v>41671</v>
      </c>
      <c r="M4" s="59">
        <v>41699</v>
      </c>
      <c r="N4" s="59">
        <v>41730</v>
      </c>
      <c r="O4" s="59">
        <v>41760</v>
      </c>
      <c r="P4" s="59">
        <v>41791</v>
      </c>
      <c r="Q4" s="59">
        <v>41821</v>
      </c>
      <c r="R4" s="59">
        <v>41852</v>
      </c>
      <c r="S4" s="59">
        <v>41883</v>
      </c>
      <c r="T4" s="59">
        <v>41913</v>
      </c>
      <c r="U4" s="59">
        <v>41944</v>
      </c>
      <c r="V4" s="59">
        <v>41974</v>
      </c>
      <c r="W4" s="59">
        <v>42005</v>
      </c>
      <c r="X4" s="59">
        <v>42036</v>
      </c>
      <c r="Y4" s="59">
        <v>42064</v>
      </c>
      <c r="Z4" s="59">
        <v>42095</v>
      </c>
      <c r="AA4" s="59">
        <v>42125</v>
      </c>
      <c r="AB4" s="59">
        <v>42156</v>
      </c>
      <c r="AC4" s="59">
        <v>42186</v>
      </c>
      <c r="AD4" s="59">
        <v>42217</v>
      </c>
      <c r="AE4" s="59">
        <v>42248</v>
      </c>
      <c r="AF4" s="59">
        <v>42278</v>
      </c>
      <c r="AG4" s="59">
        <v>42309</v>
      </c>
      <c r="AH4" s="59">
        <v>42339</v>
      </c>
      <c r="AI4" s="59">
        <v>42370</v>
      </c>
      <c r="AJ4" s="59">
        <v>42401</v>
      </c>
      <c r="AK4" s="59">
        <v>42430</v>
      </c>
      <c r="AL4" s="59">
        <v>42461</v>
      </c>
      <c r="AM4" s="59">
        <v>42491</v>
      </c>
      <c r="AN4" s="59">
        <v>42522</v>
      </c>
      <c r="AO4" s="59">
        <v>42552</v>
      </c>
      <c r="AP4" s="59">
        <v>42583</v>
      </c>
      <c r="AQ4" s="59">
        <v>42614</v>
      </c>
      <c r="AR4" s="59">
        <v>42644</v>
      </c>
      <c r="AS4" s="59">
        <v>42675</v>
      </c>
      <c r="AT4" s="59">
        <v>42705</v>
      </c>
      <c r="AU4" s="59">
        <v>42736</v>
      </c>
      <c r="AV4" s="59">
        <v>42767</v>
      </c>
      <c r="AW4" s="59">
        <v>42795</v>
      </c>
      <c r="AX4" s="59">
        <v>42826</v>
      </c>
      <c r="AY4" s="59">
        <v>42856</v>
      </c>
      <c r="AZ4" s="59">
        <v>42887</v>
      </c>
      <c r="BA4" s="59">
        <v>42917</v>
      </c>
      <c r="BB4" s="59">
        <v>42948</v>
      </c>
      <c r="BC4" s="59">
        <v>42979</v>
      </c>
      <c r="BD4" s="59">
        <v>43009</v>
      </c>
      <c r="BE4" s="59">
        <v>43040</v>
      </c>
      <c r="BF4" s="59">
        <v>43070</v>
      </c>
      <c r="BG4" s="60">
        <v>43101</v>
      </c>
      <c r="BH4" s="60">
        <v>43132</v>
      </c>
      <c r="BI4" s="60">
        <v>43160</v>
      </c>
      <c r="BJ4" s="60">
        <v>43191</v>
      </c>
      <c r="BK4" s="60">
        <v>43221</v>
      </c>
      <c r="BL4" s="60">
        <v>43252</v>
      </c>
      <c r="BM4" s="60">
        <v>43282</v>
      </c>
      <c r="BN4" s="60">
        <v>43313</v>
      </c>
      <c r="BO4" s="60">
        <v>43344</v>
      </c>
      <c r="BP4" s="60">
        <v>43374</v>
      </c>
      <c r="BQ4" s="60">
        <v>43405</v>
      </c>
      <c r="BR4" s="60">
        <v>43435</v>
      </c>
      <c r="BS4" s="60">
        <v>43466</v>
      </c>
      <c r="BT4" s="60">
        <v>43497</v>
      </c>
      <c r="BU4" s="60">
        <v>43525</v>
      </c>
      <c r="BV4" s="60">
        <v>43556</v>
      </c>
      <c r="BW4" s="60">
        <v>43586</v>
      </c>
      <c r="BX4" s="60">
        <v>43617</v>
      </c>
      <c r="BY4" s="60">
        <v>43647</v>
      </c>
      <c r="BZ4" s="60">
        <v>43678</v>
      </c>
      <c r="CA4" s="60">
        <v>43709</v>
      </c>
      <c r="CB4" s="60">
        <v>43739</v>
      </c>
      <c r="CC4" s="60">
        <v>43770</v>
      </c>
      <c r="CD4" s="60">
        <v>43800</v>
      </c>
      <c r="CE4" s="60">
        <v>43831</v>
      </c>
      <c r="CF4" s="60">
        <v>43862</v>
      </c>
      <c r="CG4" s="60">
        <v>43891</v>
      </c>
      <c r="CH4" s="60">
        <v>43922</v>
      </c>
      <c r="CI4" s="60">
        <v>43952</v>
      </c>
      <c r="CJ4" s="60">
        <v>43983</v>
      </c>
      <c r="CK4" s="60">
        <v>44013</v>
      </c>
      <c r="CL4" s="60">
        <v>44044</v>
      </c>
      <c r="CM4" s="60">
        <v>44075</v>
      </c>
      <c r="CN4" s="60">
        <v>44105</v>
      </c>
      <c r="CO4" s="60">
        <v>44136</v>
      </c>
      <c r="CP4" s="60">
        <v>44166</v>
      </c>
      <c r="CQ4" s="60">
        <v>44197</v>
      </c>
      <c r="CR4" s="60">
        <v>44228</v>
      </c>
      <c r="CS4" s="60">
        <v>44256</v>
      </c>
      <c r="CT4" s="60">
        <v>44287</v>
      </c>
      <c r="CU4" s="60">
        <v>44317</v>
      </c>
      <c r="CV4" s="60">
        <v>44348</v>
      </c>
      <c r="CW4" s="60">
        <v>44378</v>
      </c>
      <c r="CX4" s="60">
        <v>44409</v>
      </c>
      <c r="CY4" s="60">
        <v>44440</v>
      </c>
      <c r="CZ4" s="60">
        <v>44470</v>
      </c>
      <c r="DA4" s="60">
        <v>44501</v>
      </c>
      <c r="DB4" s="60">
        <v>44531</v>
      </c>
      <c r="DC4" s="60">
        <v>44562</v>
      </c>
      <c r="DD4" s="60">
        <v>44593</v>
      </c>
      <c r="DE4" s="60">
        <v>44621</v>
      </c>
      <c r="DF4" s="60">
        <v>44652</v>
      </c>
      <c r="DG4" s="60">
        <v>44682</v>
      </c>
      <c r="DH4" s="60">
        <v>44713</v>
      </c>
      <c r="DI4" s="60">
        <v>44743</v>
      </c>
      <c r="DJ4" s="60">
        <v>44774</v>
      </c>
      <c r="DK4" s="60">
        <v>44805</v>
      </c>
      <c r="DL4" s="60">
        <v>44835</v>
      </c>
      <c r="DM4" s="60">
        <v>44866</v>
      </c>
      <c r="DN4" s="60">
        <v>44896</v>
      </c>
      <c r="DO4" s="60">
        <v>44927</v>
      </c>
      <c r="DP4" s="60">
        <v>44958</v>
      </c>
      <c r="DQ4" s="60">
        <v>44986</v>
      </c>
      <c r="DR4" s="60">
        <v>45017</v>
      </c>
      <c r="DS4" s="60">
        <v>45047</v>
      </c>
      <c r="DT4" s="60">
        <v>45078</v>
      </c>
      <c r="DU4" s="60">
        <v>45108</v>
      </c>
      <c r="DV4" s="60">
        <v>45139</v>
      </c>
      <c r="DW4" s="60">
        <v>45170</v>
      </c>
      <c r="DX4" s="60">
        <v>45200</v>
      </c>
      <c r="DY4" s="60">
        <v>45231</v>
      </c>
      <c r="DZ4" s="60">
        <v>45261</v>
      </c>
      <c r="EA4" s="60">
        <v>45292</v>
      </c>
    </row>
    <row r="5" spans="1:131" s="8" customFormat="1" ht="25" customHeight="1" x14ac:dyDescent="0.25">
      <c r="A5" s="9" t="s">
        <v>0</v>
      </c>
      <c r="B5" s="61">
        <v>552380</v>
      </c>
      <c r="C5" s="61">
        <v>551630</v>
      </c>
      <c r="D5" s="61">
        <v>551870</v>
      </c>
      <c r="E5" s="61">
        <v>550980</v>
      </c>
      <c r="F5" s="61">
        <v>551620</v>
      </c>
      <c r="G5" s="61">
        <v>548070</v>
      </c>
      <c r="H5" s="61">
        <v>547350</v>
      </c>
      <c r="I5" s="61">
        <v>544870</v>
      </c>
      <c r="J5" s="61">
        <v>544090</v>
      </c>
      <c r="K5" s="61">
        <v>542330</v>
      </c>
      <c r="L5" s="61">
        <v>544210</v>
      </c>
      <c r="M5" s="61">
        <v>543220</v>
      </c>
      <c r="N5" s="61">
        <v>542100</v>
      </c>
      <c r="O5" s="61">
        <v>538520</v>
      </c>
      <c r="P5" s="61">
        <v>537730</v>
      </c>
      <c r="Q5" s="61">
        <v>537780</v>
      </c>
      <c r="R5" s="61">
        <v>538040</v>
      </c>
      <c r="S5" s="61">
        <v>533980</v>
      </c>
      <c r="T5" s="61">
        <v>531690</v>
      </c>
      <c r="U5" s="61">
        <v>529130</v>
      </c>
      <c r="V5" s="61">
        <v>527460</v>
      </c>
      <c r="W5" s="61">
        <v>524260</v>
      </c>
      <c r="X5" s="61">
        <v>526730</v>
      </c>
      <c r="Y5" s="61">
        <v>525640</v>
      </c>
      <c r="Z5" s="61">
        <v>520050</v>
      </c>
      <c r="AA5" s="61">
        <v>518440</v>
      </c>
      <c r="AB5" s="61">
        <v>515260</v>
      </c>
      <c r="AC5" s="61">
        <v>515270</v>
      </c>
      <c r="AD5" s="61">
        <v>515960</v>
      </c>
      <c r="AE5" s="61">
        <v>512340</v>
      </c>
      <c r="AF5" s="61">
        <v>509140</v>
      </c>
      <c r="AG5" s="61">
        <v>506640</v>
      </c>
      <c r="AH5" s="61">
        <v>505270</v>
      </c>
      <c r="AI5" s="62">
        <v>503100</v>
      </c>
      <c r="AJ5" s="62">
        <v>504160</v>
      </c>
      <c r="AK5" s="62">
        <v>504980</v>
      </c>
      <c r="AL5" s="61">
        <v>501180</v>
      </c>
      <c r="AM5" s="61">
        <v>500350</v>
      </c>
      <c r="AN5" s="61">
        <v>498750</v>
      </c>
      <c r="AO5" s="61">
        <v>498400</v>
      </c>
      <c r="AP5" s="61">
        <v>499210</v>
      </c>
      <c r="AQ5" s="61">
        <v>495660</v>
      </c>
      <c r="AR5" s="61">
        <v>493470</v>
      </c>
      <c r="AS5" s="61">
        <v>490800</v>
      </c>
      <c r="AT5" s="61">
        <v>490410</v>
      </c>
      <c r="AU5" s="63">
        <v>487400</v>
      </c>
      <c r="AV5" s="63">
        <v>489070</v>
      </c>
      <c r="AW5" s="63">
        <v>491760</v>
      </c>
      <c r="AX5" s="63">
        <v>491430</v>
      </c>
      <c r="AY5" s="63">
        <v>492860</v>
      </c>
      <c r="AZ5" s="63">
        <v>491490</v>
      </c>
      <c r="BA5" s="63">
        <v>493470</v>
      </c>
      <c r="BB5" s="63">
        <v>492920</v>
      </c>
      <c r="BC5" s="63">
        <v>489560</v>
      </c>
      <c r="BD5" s="64">
        <v>486480</v>
      </c>
      <c r="BE5" s="64">
        <v>485100</v>
      </c>
      <c r="BF5" s="64">
        <v>483980</v>
      </c>
      <c r="BG5" s="64">
        <v>482360</v>
      </c>
      <c r="BH5" s="64">
        <v>483590</v>
      </c>
      <c r="BI5" s="64">
        <v>484910</v>
      </c>
      <c r="BJ5" s="61">
        <v>481490</v>
      </c>
      <c r="BK5" s="61">
        <v>481870</v>
      </c>
      <c r="BL5" s="61">
        <v>481850</v>
      </c>
      <c r="BM5" s="64">
        <v>483250</v>
      </c>
      <c r="BN5" s="64">
        <v>485310</v>
      </c>
      <c r="BO5" s="64">
        <v>481100</v>
      </c>
      <c r="BP5" s="64">
        <v>469930</v>
      </c>
      <c r="BQ5" s="64">
        <v>477580</v>
      </c>
      <c r="BR5" s="64">
        <v>473410</v>
      </c>
      <c r="BS5" s="61">
        <v>475460</v>
      </c>
      <c r="BT5" s="65">
        <v>477100</v>
      </c>
      <c r="BU5" s="65">
        <v>477800</v>
      </c>
      <c r="BV5" s="65">
        <v>474420</v>
      </c>
      <c r="BW5" s="65">
        <v>473430</v>
      </c>
      <c r="BX5" s="65">
        <v>472640</v>
      </c>
      <c r="BY5" s="65">
        <v>473510</v>
      </c>
      <c r="BZ5" s="65">
        <v>474510</v>
      </c>
      <c r="CA5" s="65">
        <v>471790</v>
      </c>
      <c r="CB5" s="65">
        <v>470420</v>
      </c>
      <c r="CC5" s="65">
        <v>468140</v>
      </c>
      <c r="CD5" s="65">
        <v>468150</v>
      </c>
      <c r="CE5" s="65">
        <v>466740</v>
      </c>
      <c r="CF5" s="65">
        <v>467730</v>
      </c>
      <c r="CG5" s="65">
        <v>469370</v>
      </c>
      <c r="CH5" s="65">
        <v>490160</v>
      </c>
      <c r="CI5" s="65">
        <v>497950</v>
      </c>
      <c r="CJ5" s="65">
        <v>497960</v>
      </c>
      <c r="CK5" s="65">
        <v>499580</v>
      </c>
      <c r="CL5" s="65">
        <v>501680</v>
      </c>
      <c r="CM5" s="65">
        <v>500620</v>
      </c>
      <c r="CN5" s="65">
        <v>498650</v>
      </c>
      <c r="CO5" s="65">
        <v>497170</v>
      </c>
      <c r="CP5" s="65">
        <v>496470</v>
      </c>
      <c r="CQ5" s="65">
        <v>494880</v>
      </c>
      <c r="CR5" s="65">
        <v>495160</v>
      </c>
      <c r="CS5" s="65">
        <v>496580</v>
      </c>
      <c r="CT5" s="65">
        <v>493320</v>
      </c>
      <c r="CU5" s="65">
        <v>493510</v>
      </c>
      <c r="CV5" s="65">
        <v>490930</v>
      </c>
      <c r="CW5" s="65">
        <v>487390</v>
      </c>
      <c r="CX5" s="65">
        <v>485560</v>
      </c>
      <c r="CY5" s="65">
        <v>482060</v>
      </c>
      <c r="CZ5" s="65">
        <v>479300</v>
      </c>
      <c r="DA5" s="65">
        <v>477980</v>
      </c>
      <c r="DB5" s="65">
        <v>474190</v>
      </c>
      <c r="DC5" s="65">
        <v>466210</v>
      </c>
      <c r="DD5" s="65">
        <v>462640</v>
      </c>
      <c r="DE5" s="65">
        <v>462670</v>
      </c>
      <c r="DF5" s="65">
        <v>460760</v>
      </c>
      <c r="DG5" s="65">
        <v>462020</v>
      </c>
      <c r="DH5" s="65">
        <v>460760</v>
      </c>
      <c r="DI5" s="65">
        <v>460990</v>
      </c>
      <c r="DJ5" s="65">
        <v>462160</v>
      </c>
      <c r="DK5" s="65">
        <v>462200</v>
      </c>
      <c r="DL5" s="63">
        <v>456790</v>
      </c>
      <c r="DM5" s="63">
        <v>455220</v>
      </c>
      <c r="DN5" s="63">
        <v>454180</v>
      </c>
      <c r="DO5" s="63">
        <v>458060</v>
      </c>
      <c r="DP5" s="63">
        <v>457840</v>
      </c>
      <c r="DQ5" s="63">
        <v>454350</v>
      </c>
      <c r="DR5" s="63">
        <v>454330</v>
      </c>
      <c r="DS5" s="63">
        <v>460720</v>
      </c>
      <c r="DT5" s="63">
        <v>458940</v>
      </c>
      <c r="DU5" s="63">
        <v>460600</v>
      </c>
      <c r="DV5" s="63">
        <v>460820</v>
      </c>
      <c r="DW5" s="63">
        <v>460750</v>
      </c>
      <c r="DX5" s="63">
        <v>460860</v>
      </c>
      <c r="DY5" s="63">
        <v>459900</v>
      </c>
      <c r="DZ5" s="63">
        <v>460830</v>
      </c>
      <c r="EA5" s="147">
        <v>458220</v>
      </c>
    </row>
    <row r="6" spans="1:131" s="8" customFormat="1" ht="16" customHeight="1" x14ac:dyDescent="0.25">
      <c r="A6" s="66" t="s">
        <v>1</v>
      </c>
      <c r="B6" s="67">
        <v>15150</v>
      </c>
      <c r="C6" s="67">
        <v>15060</v>
      </c>
      <c r="D6" s="67">
        <v>15050</v>
      </c>
      <c r="E6" s="67">
        <v>14980</v>
      </c>
      <c r="F6" s="67">
        <v>14810</v>
      </c>
      <c r="G6" s="67">
        <v>14780</v>
      </c>
      <c r="H6" s="67">
        <v>14710</v>
      </c>
      <c r="I6" s="67">
        <v>14660</v>
      </c>
      <c r="J6" s="67">
        <v>14600</v>
      </c>
      <c r="K6" s="67">
        <v>14550</v>
      </c>
      <c r="L6" s="67">
        <v>14510</v>
      </c>
      <c r="M6" s="67">
        <v>14200</v>
      </c>
      <c r="N6" s="67">
        <v>14360</v>
      </c>
      <c r="O6" s="67">
        <v>14240</v>
      </c>
      <c r="P6" s="67">
        <v>14130</v>
      </c>
      <c r="Q6" s="67">
        <v>14050</v>
      </c>
      <c r="R6" s="67">
        <v>14000</v>
      </c>
      <c r="S6" s="67">
        <v>13830</v>
      </c>
      <c r="T6" s="67">
        <v>13750</v>
      </c>
      <c r="U6" s="67">
        <v>13610</v>
      </c>
      <c r="V6" s="67">
        <v>13500</v>
      </c>
      <c r="W6" s="67">
        <v>13490</v>
      </c>
      <c r="X6" s="67">
        <v>13510</v>
      </c>
      <c r="Y6" s="67">
        <v>13520</v>
      </c>
      <c r="Z6" s="67">
        <v>13450</v>
      </c>
      <c r="AA6" s="67">
        <v>13480</v>
      </c>
      <c r="AB6" s="67">
        <v>13470</v>
      </c>
      <c r="AC6" s="67">
        <v>13520</v>
      </c>
      <c r="AD6" s="67">
        <v>13580</v>
      </c>
      <c r="AE6" s="67">
        <v>13460</v>
      </c>
      <c r="AF6" s="67">
        <v>13450</v>
      </c>
      <c r="AG6" s="67">
        <v>13520</v>
      </c>
      <c r="AH6" s="67">
        <v>13580</v>
      </c>
      <c r="AI6" s="67">
        <v>13590</v>
      </c>
      <c r="AJ6" s="67">
        <v>13580</v>
      </c>
      <c r="AK6" s="67">
        <v>13630</v>
      </c>
      <c r="AL6" s="67">
        <v>13600</v>
      </c>
      <c r="AM6" s="67">
        <v>13700</v>
      </c>
      <c r="AN6" s="67">
        <v>13810</v>
      </c>
      <c r="AO6" s="67">
        <v>13890</v>
      </c>
      <c r="AP6" s="67">
        <v>13980</v>
      </c>
      <c r="AQ6" s="67">
        <v>14030</v>
      </c>
      <c r="AR6" s="67">
        <v>14030</v>
      </c>
      <c r="AS6" s="67">
        <v>13930</v>
      </c>
      <c r="AT6" s="67">
        <v>13920</v>
      </c>
      <c r="AU6" s="68">
        <v>13930</v>
      </c>
      <c r="AV6" s="68">
        <v>14020</v>
      </c>
      <c r="AW6" s="68">
        <v>14130</v>
      </c>
      <c r="AX6" s="68">
        <v>14200</v>
      </c>
      <c r="AY6" s="68">
        <v>14270</v>
      </c>
      <c r="AZ6" s="68">
        <v>14250</v>
      </c>
      <c r="BA6" s="68">
        <v>14250</v>
      </c>
      <c r="BB6" s="68">
        <v>14290</v>
      </c>
      <c r="BC6" s="68">
        <v>14170</v>
      </c>
      <c r="BD6" s="69">
        <v>14040</v>
      </c>
      <c r="BE6" s="69">
        <v>14000</v>
      </c>
      <c r="BF6" s="69">
        <v>14040</v>
      </c>
      <c r="BG6" s="69">
        <v>13980</v>
      </c>
      <c r="BH6" s="69">
        <v>14040</v>
      </c>
      <c r="BI6" s="69">
        <v>14120</v>
      </c>
      <c r="BJ6" s="67">
        <v>13980</v>
      </c>
      <c r="BK6" s="67">
        <v>14100</v>
      </c>
      <c r="BL6" s="67">
        <v>14100</v>
      </c>
      <c r="BM6" s="69">
        <v>14150</v>
      </c>
      <c r="BN6" s="69">
        <v>14160</v>
      </c>
      <c r="BO6" s="69">
        <v>14110</v>
      </c>
      <c r="BP6" s="69">
        <v>13740</v>
      </c>
      <c r="BQ6" s="69">
        <v>13930</v>
      </c>
      <c r="BR6" s="70">
        <v>13800</v>
      </c>
      <c r="BS6" s="71">
        <v>13790</v>
      </c>
      <c r="BT6" s="72">
        <v>13820</v>
      </c>
      <c r="BU6" s="73">
        <v>13810</v>
      </c>
      <c r="BV6" s="73">
        <v>13760</v>
      </c>
      <c r="BW6" s="73">
        <v>13690</v>
      </c>
      <c r="BX6" s="73">
        <v>13630</v>
      </c>
      <c r="BY6" s="73">
        <v>13460</v>
      </c>
      <c r="BZ6" s="73">
        <v>13560</v>
      </c>
      <c r="CA6" s="73">
        <v>13410</v>
      </c>
      <c r="CB6" s="73">
        <v>13490</v>
      </c>
      <c r="CC6" s="73">
        <v>13480</v>
      </c>
      <c r="CD6" s="73">
        <v>13610</v>
      </c>
      <c r="CE6" s="73">
        <v>13590</v>
      </c>
      <c r="CF6" s="73">
        <v>13630</v>
      </c>
      <c r="CG6" s="73">
        <v>13720</v>
      </c>
      <c r="CH6" s="73">
        <v>13790</v>
      </c>
      <c r="CI6" s="73">
        <v>14110</v>
      </c>
      <c r="CJ6" s="73">
        <v>14220</v>
      </c>
      <c r="CK6" s="73">
        <v>14350</v>
      </c>
      <c r="CL6" s="73">
        <v>15200</v>
      </c>
      <c r="CM6" s="73">
        <v>15090</v>
      </c>
      <c r="CN6" s="73">
        <v>15160</v>
      </c>
      <c r="CO6" s="73">
        <v>15390</v>
      </c>
      <c r="CP6" s="73">
        <v>15580</v>
      </c>
      <c r="CQ6" s="73">
        <v>15820</v>
      </c>
      <c r="CR6" s="73">
        <v>15880</v>
      </c>
      <c r="CS6" s="73">
        <v>15950</v>
      </c>
      <c r="CT6" s="73">
        <v>15800</v>
      </c>
      <c r="CU6" s="73">
        <v>15630</v>
      </c>
      <c r="CV6" s="73">
        <v>15490</v>
      </c>
      <c r="CW6" s="73">
        <v>15210</v>
      </c>
      <c r="CX6" s="73">
        <v>15100</v>
      </c>
      <c r="CY6" s="73">
        <v>14930</v>
      </c>
      <c r="CZ6" s="73">
        <v>14740</v>
      </c>
      <c r="DA6" s="73">
        <v>14710</v>
      </c>
      <c r="DB6" s="73">
        <v>14560</v>
      </c>
      <c r="DC6" s="73">
        <v>14250</v>
      </c>
      <c r="DD6" s="73">
        <v>14050</v>
      </c>
      <c r="DE6" s="73">
        <v>13880</v>
      </c>
      <c r="DF6" s="73">
        <v>13610</v>
      </c>
      <c r="DG6" s="73">
        <v>13740</v>
      </c>
      <c r="DH6" s="73">
        <v>13640</v>
      </c>
      <c r="DI6" s="73">
        <v>13780</v>
      </c>
      <c r="DJ6" s="73">
        <v>13820</v>
      </c>
      <c r="DK6" s="73">
        <v>13870</v>
      </c>
      <c r="DL6" s="68">
        <v>13800</v>
      </c>
      <c r="DM6" s="68">
        <v>13800</v>
      </c>
      <c r="DN6" s="68">
        <v>13720</v>
      </c>
      <c r="DO6" s="68">
        <v>13820</v>
      </c>
      <c r="DP6" s="68">
        <v>13830</v>
      </c>
      <c r="DQ6" s="68">
        <v>13630</v>
      </c>
      <c r="DR6" s="68">
        <v>13550</v>
      </c>
      <c r="DS6" s="68">
        <v>13960</v>
      </c>
      <c r="DT6" s="68">
        <v>14110</v>
      </c>
      <c r="DU6" s="68">
        <v>14190</v>
      </c>
      <c r="DV6" s="68">
        <v>14380</v>
      </c>
      <c r="DW6" s="68">
        <v>14420</v>
      </c>
      <c r="DX6" s="68">
        <v>14360</v>
      </c>
      <c r="DY6" s="68">
        <v>14380</v>
      </c>
      <c r="DZ6" s="68">
        <v>14310</v>
      </c>
      <c r="EA6" s="148">
        <v>14300</v>
      </c>
    </row>
    <row r="7" spans="1:131" s="8" customFormat="1" ht="16" customHeight="1" x14ac:dyDescent="0.25">
      <c r="A7" s="51" t="s">
        <v>2</v>
      </c>
      <c r="B7" s="74">
        <v>12320</v>
      </c>
      <c r="C7" s="74">
        <v>12250</v>
      </c>
      <c r="D7" s="74">
        <v>12280</v>
      </c>
      <c r="E7" s="74">
        <v>12180</v>
      </c>
      <c r="F7" s="74">
        <v>12230</v>
      </c>
      <c r="G7" s="74">
        <v>12160</v>
      </c>
      <c r="H7" s="74">
        <v>11980</v>
      </c>
      <c r="I7" s="74">
        <v>12030</v>
      </c>
      <c r="J7" s="74">
        <v>12090</v>
      </c>
      <c r="K7" s="74">
        <v>11960</v>
      </c>
      <c r="L7" s="74">
        <v>12040</v>
      </c>
      <c r="M7" s="74">
        <v>12020</v>
      </c>
      <c r="N7" s="74">
        <v>11940</v>
      </c>
      <c r="O7" s="74">
        <v>11800</v>
      </c>
      <c r="P7" s="74">
        <v>11800</v>
      </c>
      <c r="Q7" s="74">
        <v>11780</v>
      </c>
      <c r="R7" s="74">
        <v>11750</v>
      </c>
      <c r="S7" s="74">
        <v>11640</v>
      </c>
      <c r="T7" s="74">
        <v>11600</v>
      </c>
      <c r="U7" s="74">
        <v>11540</v>
      </c>
      <c r="V7" s="74">
        <v>11530</v>
      </c>
      <c r="W7" s="74">
        <v>11450</v>
      </c>
      <c r="X7" s="74">
        <v>11500</v>
      </c>
      <c r="Y7" s="74">
        <v>11610</v>
      </c>
      <c r="Z7" s="74">
        <v>11140</v>
      </c>
      <c r="AA7" s="74">
        <v>11240</v>
      </c>
      <c r="AB7" s="74">
        <v>11510</v>
      </c>
      <c r="AC7" s="74">
        <v>11450</v>
      </c>
      <c r="AD7" s="74">
        <v>11490</v>
      </c>
      <c r="AE7" s="74">
        <v>11400</v>
      </c>
      <c r="AF7" s="74">
        <v>11350</v>
      </c>
      <c r="AG7" s="74">
        <v>11410</v>
      </c>
      <c r="AH7" s="74">
        <v>11480</v>
      </c>
      <c r="AI7" s="74">
        <v>11400</v>
      </c>
      <c r="AJ7" s="74">
        <v>11400</v>
      </c>
      <c r="AK7" s="74">
        <v>11490</v>
      </c>
      <c r="AL7" s="74">
        <v>11470</v>
      </c>
      <c r="AM7" s="74">
        <v>11550</v>
      </c>
      <c r="AN7" s="74">
        <v>11440</v>
      </c>
      <c r="AO7" s="74">
        <v>11480</v>
      </c>
      <c r="AP7" s="74">
        <v>11620</v>
      </c>
      <c r="AQ7" s="74">
        <v>11600</v>
      </c>
      <c r="AR7" s="74">
        <v>11640</v>
      </c>
      <c r="AS7" s="74">
        <v>11560</v>
      </c>
      <c r="AT7" s="74">
        <v>11580</v>
      </c>
      <c r="AU7" s="75">
        <v>11490</v>
      </c>
      <c r="AV7" s="75">
        <v>11600</v>
      </c>
      <c r="AW7" s="75">
        <v>11870</v>
      </c>
      <c r="AX7" s="75">
        <v>11920</v>
      </c>
      <c r="AY7" s="75">
        <v>12260</v>
      </c>
      <c r="AZ7" s="75">
        <v>12300</v>
      </c>
      <c r="BA7" s="75">
        <v>11890</v>
      </c>
      <c r="BB7" s="75">
        <v>11960</v>
      </c>
      <c r="BC7" s="75">
        <v>11900</v>
      </c>
      <c r="BD7" s="76">
        <v>11840</v>
      </c>
      <c r="BE7" s="76">
        <v>11790</v>
      </c>
      <c r="BF7" s="76">
        <v>11750</v>
      </c>
      <c r="BG7" s="76">
        <v>11700</v>
      </c>
      <c r="BH7" s="76">
        <v>11710</v>
      </c>
      <c r="BI7" s="76">
        <v>11690</v>
      </c>
      <c r="BJ7" s="74">
        <v>11500</v>
      </c>
      <c r="BK7" s="74">
        <v>11500</v>
      </c>
      <c r="BL7" s="74">
        <v>11440</v>
      </c>
      <c r="BM7" s="76">
        <v>11370</v>
      </c>
      <c r="BN7" s="76">
        <v>11340</v>
      </c>
      <c r="BO7" s="76">
        <v>11390</v>
      </c>
      <c r="BP7" s="76">
        <v>11020</v>
      </c>
      <c r="BQ7" s="76">
        <v>11470</v>
      </c>
      <c r="BR7" s="76">
        <v>11530</v>
      </c>
      <c r="BS7" s="74">
        <v>11550</v>
      </c>
      <c r="BT7" s="74">
        <v>11680</v>
      </c>
      <c r="BU7" s="74">
        <v>11790</v>
      </c>
      <c r="BV7" s="76">
        <v>11680</v>
      </c>
      <c r="BW7" s="76">
        <v>11640</v>
      </c>
      <c r="BX7" s="76">
        <v>11680</v>
      </c>
      <c r="BY7" s="76">
        <v>11710</v>
      </c>
      <c r="BZ7" s="76">
        <v>11760</v>
      </c>
      <c r="CA7" s="76">
        <v>11700</v>
      </c>
      <c r="CB7" s="76">
        <v>11740</v>
      </c>
      <c r="CC7" s="76">
        <v>11640</v>
      </c>
      <c r="CD7" s="76">
        <v>11680</v>
      </c>
      <c r="CE7" s="76">
        <v>11720</v>
      </c>
      <c r="CF7" s="76">
        <v>11840</v>
      </c>
      <c r="CG7" s="76">
        <v>12020</v>
      </c>
      <c r="CH7" s="76">
        <v>13130</v>
      </c>
      <c r="CI7" s="76">
        <v>13410</v>
      </c>
      <c r="CJ7" s="76">
        <v>13240</v>
      </c>
      <c r="CK7" s="76">
        <v>13410</v>
      </c>
      <c r="CL7" s="76">
        <v>13370</v>
      </c>
      <c r="CM7" s="76">
        <v>13300</v>
      </c>
      <c r="CN7" s="76">
        <v>13050</v>
      </c>
      <c r="CO7" s="76">
        <v>12930</v>
      </c>
      <c r="CP7" s="76">
        <v>12550</v>
      </c>
      <c r="CQ7" s="76">
        <v>13000</v>
      </c>
      <c r="CR7" s="76">
        <v>13000</v>
      </c>
      <c r="CS7" s="76">
        <v>13020</v>
      </c>
      <c r="CT7" s="76">
        <v>12850</v>
      </c>
      <c r="CU7" s="76">
        <v>12860</v>
      </c>
      <c r="CV7" s="76">
        <v>12800</v>
      </c>
      <c r="CW7" s="76">
        <v>12560</v>
      </c>
      <c r="CX7" s="76">
        <v>12460</v>
      </c>
      <c r="CY7" s="76">
        <v>12370</v>
      </c>
      <c r="CZ7" s="76">
        <v>12350</v>
      </c>
      <c r="DA7" s="76">
        <v>12260</v>
      </c>
      <c r="DB7" s="76">
        <v>12540</v>
      </c>
      <c r="DC7" s="76">
        <v>12080</v>
      </c>
      <c r="DD7" s="76">
        <v>11760</v>
      </c>
      <c r="DE7" s="76">
        <v>11750</v>
      </c>
      <c r="DF7" s="76">
        <v>11760</v>
      </c>
      <c r="DG7" s="76">
        <v>11900</v>
      </c>
      <c r="DH7" s="76">
        <v>11830</v>
      </c>
      <c r="DI7" s="76">
        <v>11830</v>
      </c>
      <c r="DJ7" s="76">
        <v>11780</v>
      </c>
      <c r="DK7" s="76">
        <v>11810</v>
      </c>
      <c r="DL7" s="75">
        <v>11660</v>
      </c>
      <c r="DM7" s="75">
        <v>11620</v>
      </c>
      <c r="DN7" s="75">
        <v>11690</v>
      </c>
      <c r="DO7" s="75">
        <v>11690</v>
      </c>
      <c r="DP7" s="75">
        <v>11690</v>
      </c>
      <c r="DQ7" s="75">
        <v>11780</v>
      </c>
      <c r="DR7" s="75">
        <v>11820</v>
      </c>
      <c r="DS7" s="75">
        <v>11930</v>
      </c>
      <c r="DT7" s="75">
        <v>11800</v>
      </c>
      <c r="DU7" s="75">
        <v>11810</v>
      </c>
      <c r="DV7" s="137">
        <v>11710</v>
      </c>
      <c r="DW7" s="137">
        <v>11720</v>
      </c>
      <c r="DX7" s="137">
        <v>11740</v>
      </c>
      <c r="DY7" s="137">
        <v>11690</v>
      </c>
      <c r="DZ7" s="137">
        <v>11710</v>
      </c>
      <c r="EA7" s="149">
        <v>11570</v>
      </c>
    </row>
    <row r="8" spans="1:131" s="8" customFormat="1" ht="16" customHeight="1" x14ac:dyDescent="0.25">
      <c r="A8" s="66" t="s">
        <v>3</v>
      </c>
      <c r="B8" s="67">
        <v>9790</v>
      </c>
      <c r="C8" s="67">
        <v>9670</v>
      </c>
      <c r="D8" s="67">
        <v>9480</v>
      </c>
      <c r="E8" s="67">
        <v>9470</v>
      </c>
      <c r="F8" s="67">
        <v>9650</v>
      </c>
      <c r="G8" s="67">
        <v>9580</v>
      </c>
      <c r="H8" s="67">
        <v>9530</v>
      </c>
      <c r="I8" s="67">
        <v>9470</v>
      </c>
      <c r="J8" s="67">
        <v>9440</v>
      </c>
      <c r="K8" s="67">
        <v>9420</v>
      </c>
      <c r="L8" s="67">
        <v>9490</v>
      </c>
      <c r="M8" s="67">
        <v>9530</v>
      </c>
      <c r="N8" s="67">
        <v>9370</v>
      </c>
      <c r="O8" s="67">
        <v>9320</v>
      </c>
      <c r="P8" s="67">
        <v>9270</v>
      </c>
      <c r="Q8" s="67">
        <v>9330</v>
      </c>
      <c r="R8" s="67">
        <v>9330</v>
      </c>
      <c r="S8" s="67">
        <v>9280</v>
      </c>
      <c r="T8" s="67">
        <v>9230</v>
      </c>
      <c r="U8" s="67">
        <v>9160</v>
      </c>
      <c r="V8" s="67">
        <v>9180</v>
      </c>
      <c r="W8" s="67">
        <v>9240</v>
      </c>
      <c r="X8" s="67">
        <v>9200</v>
      </c>
      <c r="Y8" s="67">
        <v>9160</v>
      </c>
      <c r="Z8" s="67">
        <v>9100</v>
      </c>
      <c r="AA8" s="67">
        <v>9110</v>
      </c>
      <c r="AB8" s="67">
        <v>9080</v>
      </c>
      <c r="AC8" s="67">
        <v>9080</v>
      </c>
      <c r="AD8" s="67">
        <v>9080</v>
      </c>
      <c r="AE8" s="67">
        <v>9040</v>
      </c>
      <c r="AF8" s="67">
        <v>8950</v>
      </c>
      <c r="AG8" s="67">
        <v>8890</v>
      </c>
      <c r="AH8" s="67">
        <v>8910</v>
      </c>
      <c r="AI8" s="67">
        <v>8880</v>
      </c>
      <c r="AJ8" s="67">
        <v>8910</v>
      </c>
      <c r="AK8" s="67">
        <v>8930</v>
      </c>
      <c r="AL8" s="67">
        <v>8890</v>
      </c>
      <c r="AM8" s="67">
        <v>8900</v>
      </c>
      <c r="AN8" s="67">
        <v>8900</v>
      </c>
      <c r="AO8" s="67">
        <v>8920</v>
      </c>
      <c r="AP8" s="67">
        <v>8930</v>
      </c>
      <c r="AQ8" s="67">
        <v>8860</v>
      </c>
      <c r="AR8" s="67">
        <v>8760</v>
      </c>
      <c r="AS8" s="67">
        <v>8750</v>
      </c>
      <c r="AT8" s="67">
        <v>8720</v>
      </c>
      <c r="AU8" s="68">
        <v>8690</v>
      </c>
      <c r="AV8" s="68">
        <v>8730</v>
      </c>
      <c r="AW8" s="68">
        <v>8780</v>
      </c>
      <c r="AX8" s="68">
        <v>8760</v>
      </c>
      <c r="AY8" s="68">
        <v>8820</v>
      </c>
      <c r="AZ8" s="68">
        <v>8850</v>
      </c>
      <c r="BA8" s="68">
        <v>8850</v>
      </c>
      <c r="BB8" s="68">
        <v>8910</v>
      </c>
      <c r="BC8" s="68">
        <v>8800</v>
      </c>
      <c r="BD8" s="69">
        <v>8730</v>
      </c>
      <c r="BE8" s="69">
        <v>8740</v>
      </c>
      <c r="BF8" s="69">
        <v>8750</v>
      </c>
      <c r="BG8" s="69">
        <v>8770</v>
      </c>
      <c r="BH8" s="69">
        <v>8780</v>
      </c>
      <c r="BI8" s="69">
        <v>8810</v>
      </c>
      <c r="BJ8" s="67">
        <v>8750</v>
      </c>
      <c r="BK8" s="67">
        <v>8840</v>
      </c>
      <c r="BL8" s="67">
        <v>8790</v>
      </c>
      <c r="BM8" s="69">
        <v>8790</v>
      </c>
      <c r="BN8" s="69">
        <v>8750</v>
      </c>
      <c r="BO8" s="69">
        <v>8810</v>
      </c>
      <c r="BP8" s="69">
        <v>8620</v>
      </c>
      <c r="BQ8" s="69">
        <v>8740</v>
      </c>
      <c r="BR8" s="70">
        <v>8600</v>
      </c>
      <c r="BS8" s="71">
        <v>8610</v>
      </c>
      <c r="BT8" s="72">
        <v>8680</v>
      </c>
      <c r="BU8" s="73">
        <v>8660</v>
      </c>
      <c r="BV8" s="73">
        <v>8600</v>
      </c>
      <c r="BW8" s="73">
        <v>8650</v>
      </c>
      <c r="BX8" s="73">
        <v>8670</v>
      </c>
      <c r="BY8" s="73">
        <v>8660</v>
      </c>
      <c r="BZ8" s="73">
        <v>8640</v>
      </c>
      <c r="CA8" s="73">
        <v>8570</v>
      </c>
      <c r="CB8" s="73">
        <v>8510</v>
      </c>
      <c r="CC8" s="73">
        <v>8430</v>
      </c>
      <c r="CD8" s="73">
        <v>8420</v>
      </c>
      <c r="CE8" s="73">
        <v>8380</v>
      </c>
      <c r="CF8" s="73">
        <v>8460</v>
      </c>
      <c r="CG8" s="73">
        <v>8530</v>
      </c>
      <c r="CH8" s="73">
        <v>9150</v>
      </c>
      <c r="CI8" s="73">
        <v>9110</v>
      </c>
      <c r="CJ8" s="73">
        <v>9010</v>
      </c>
      <c r="CK8" s="73">
        <v>9050</v>
      </c>
      <c r="CL8" s="73">
        <v>9060</v>
      </c>
      <c r="CM8" s="73">
        <v>9040</v>
      </c>
      <c r="CN8" s="73">
        <v>8900</v>
      </c>
      <c r="CO8" s="73">
        <v>8810</v>
      </c>
      <c r="CP8" s="73">
        <v>8870</v>
      </c>
      <c r="CQ8" s="73">
        <v>8760</v>
      </c>
      <c r="CR8" s="73">
        <v>8780</v>
      </c>
      <c r="CS8" s="73">
        <v>8790</v>
      </c>
      <c r="CT8" s="73">
        <v>8830</v>
      </c>
      <c r="CU8" s="73">
        <v>8750</v>
      </c>
      <c r="CV8" s="73">
        <v>8750</v>
      </c>
      <c r="CW8" s="73">
        <v>8650</v>
      </c>
      <c r="CX8" s="73">
        <v>8580</v>
      </c>
      <c r="CY8" s="73">
        <v>8520</v>
      </c>
      <c r="CZ8" s="73">
        <v>8510</v>
      </c>
      <c r="DA8" s="73">
        <v>8460</v>
      </c>
      <c r="DB8" s="73">
        <v>8370</v>
      </c>
      <c r="DC8" s="73">
        <v>8240</v>
      </c>
      <c r="DD8" s="73">
        <v>8180</v>
      </c>
      <c r="DE8" s="73">
        <v>8140</v>
      </c>
      <c r="DF8" s="73">
        <v>8170</v>
      </c>
      <c r="DG8" s="73">
        <v>8160</v>
      </c>
      <c r="DH8" s="73">
        <v>8180</v>
      </c>
      <c r="DI8" s="73">
        <v>8120</v>
      </c>
      <c r="DJ8" s="73">
        <v>8130</v>
      </c>
      <c r="DK8" s="73">
        <v>8110</v>
      </c>
      <c r="DL8" s="68">
        <v>8020</v>
      </c>
      <c r="DM8" s="68">
        <v>7990</v>
      </c>
      <c r="DN8" s="68">
        <v>8110</v>
      </c>
      <c r="DO8" s="68">
        <v>8030</v>
      </c>
      <c r="DP8" s="68">
        <v>8080</v>
      </c>
      <c r="DQ8" s="68">
        <v>8100</v>
      </c>
      <c r="DR8" s="68">
        <v>8140</v>
      </c>
      <c r="DS8" s="68">
        <v>8250</v>
      </c>
      <c r="DT8" s="68">
        <v>8220</v>
      </c>
      <c r="DU8" s="68">
        <v>8300</v>
      </c>
      <c r="DV8" s="68">
        <v>8260</v>
      </c>
      <c r="DW8" s="68">
        <v>8230</v>
      </c>
      <c r="DX8" s="68">
        <v>8240</v>
      </c>
      <c r="DY8" s="68">
        <v>8210</v>
      </c>
      <c r="DZ8" s="68">
        <v>8200</v>
      </c>
      <c r="EA8" s="148">
        <v>8130</v>
      </c>
    </row>
    <row r="9" spans="1:131" s="8" customFormat="1" ht="16" customHeight="1" x14ac:dyDescent="0.25">
      <c r="A9" s="51" t="s">
        <v>4</v>
      </c>
      <c r="B9" s="74">
        <v>8040</v>
      </c>
      <c r="C9" s="74">
        <v>8020</v>
      </c>
      <c r="D9" s="74">
        <v>7990</v>
      </c>
      <c r="E9" s="74">
        <v>7980</v>
      </c>
      <c r="F9" s="74">
        <v>7990</v>
      </c>
      <c r="G9" s="74">
        <v>7940</v>
      </c>
      <c r="H9" s="74">
        <v>7870</v>
      </c>
      <c r="I9" s="74">
        <v>7890</v>
      </c>
      <c r="J9" s="74">
        <v>7940</v>
      </c>
      <c r="K9" s="74">
        <v>7960</v>
      </c>
      <c r="L9" s="74">
        <v>8020</v>
      </c>
      <c r="M9" s="74">
        <v>7960</v>
      </c>
      <c r="N9" s="74">
        <v>7920</v>
      </c>
      <c r="O9" s="74">
        <v>7830</v>
      </c>
      <c r="P9" s="74">
        <v>7800</v>
      </c>
      <c r="Q9" s="74">
        <v>7760</v>
      </c>
      <c r="R9" s="74">
        <v>7760</v>
      </c>
      <c r="S9" s="74">
        <v>7700</v>
      </c>
      <c r="T9" s="74">
        <v>7700</v>
      </c>
      <c r="U9" s="74">
        <v>7670</v>
      </c>
      <c r="V9" s="74">
        <v>7710</v>
      </c>
      <c r="W9" s="74">
        <v>7650</v>
      </c>
      <c r="X9" s="74">
        <v>7740</v>
      </c>
      <c r="Y9" s="74">
        <v>7650</v>
      </c>
      <c r="Z9" s="74">
        <v>7570</v>
      </c>
      <c r="AA9" s="74">
        <v>7520</v>
      </c>
      <c r="AB9" s="74">
        <v>7340</v>
      </c>
      <c r="AC9" s="74">
        <v>7380</v>
      </c>
      <c r="AD9" s="74">
        <v>7340</v>
      </c>
      <c r="AE9" s="74">
        <v>7280</v>
      </c>
      <c r="AF9" s="74">
        <v>7240</v>
      </c>
      <c r="AG9" s="74">
        <v>7220</v>
      </c>
      <c r="AH9" s="74">
        <v>7180</v>
      </c>
      <c r="AI9" s="74">
        <v>7170</v>
      </c>
      <c r="AJ9" s="74">
        <v>7180</v>
      </c>
      <c r="AK9" s="74">
        <v>7230</v>
      </c>
      <c r="AL9" s="74">
        <v>7150</v>
      </c>
      <c r="AM9" s="74">
        <v>7110</v>
      </c>
      <c r="AN9" s="74">
        <v>7070</v>
      </c>
      <c r="AO9" s="74">
        <v>7030</v>
      </c>
      <c r="AP9" s="74">
        <v>7040</v>
      </c>
      <c r="AQ9" s="74">
        <v>7030</v>
      </c>
      <c r="AR9" s="74">
        <v>6980</v>
      </c>
      <c r="AS9" s="74">
        <v>6970</v>
      </c>
      <c r="AT9" s="74">
        <v>6980</v>
      </c>
      <c r="AU9" s="75">
        <v>6920</v>
      </c>
      <c r="AV9" s="75">
        <v>6950</v>
      </c>
      <c r="AW9" s="75">
        <v>7000</v>
      </c>
      <c r="AX9" s="75">
        <v>7000</v>
      </c>
      <c r="AY9" s="75">
        <v>7020</v>
      </c>
      <c r="AZ9" s="75">
        <v>6980</v>
      </c>
      <c r="BA9" s="75">
        <v>6990</v>
      </c>
      <c r="BB9" s="75">
        <v>7020</v>
      </c>
      <c r="BC9" s="75">
        <v>6970</v>
      </c>
      <c r="BD9" s="76">
        <v>6930</v>
      </c>
      <c r="BE9" s="76">
        <v>6890</v>
      </c>
      <c r="BF9" s="76">
        <v>6860</v>
      </c>
      <c r="BG9" s="76">
        <v>6790</v>
      </c>
      <c r="BH9" s="76">
        <v>6790</v>
      </c>
      <c r="BI9" s="76">
        <v>6890</v>
      </c>
      <c r="BJ9" s="74">
        <v>6710</v>
      </c>
      <c r="BK9" s="74">
        <v>6690</v>
      </c>
      <c r="BL9" s="74">
        <v>6810</v>
      </c>
      <c r="BM9" s="76">
        <v>6760</v>
      </c>
      <c r="BN9" s="76">
        <v>6770</v>
      </c>
      <c r="BO9" s="76">
        <v>6750</v>
      </c>
      <c r="BP9" s="76">
        <v>6610</v>
      </c>
      <c r="BQ9" s="76">
        <v>6700</v>
      </c>
      <c r="BR9" s="76">
        <v>6590</v>
      </c>
      <c r="BS9" s="74">
        <v>6690</v>
      </c>
      <c r="BT9" s="74">
        <v>6780</v>
      </c>
      <c r="BU9" s="74">
        <v>6820</v>
      </c>
      <c r="BV9" s="76">
        <v>6760</v>
      </c>
      <c r="BW9" s="76">
        <v>6730</v>
      </c>
      <c r="BX9" s="76">
        <v>6710</v>
      </c>
      <c r="BY9" s="76">
        <v>6690</v>
      </c>
      <c r="BZ9" s="76">
        <v>6630</v>
      </c>
      <c r="CA9" s="76">
        <v>6580</v>
      </c>
      <c r="CB9" s="76">
        <v>6560</v>
      </c>
      <c r="CC9" s="76">
        <v>6500</v>
      </c>
      <c r="CD9" s="76">
        <v>6520</v>
      </c>
      <c r="CE9" s="76">
        <v>6500</v>
      </c>
      <c r="CF9" s="76">
        <v>6510</v>
      </c>
      <c r="CG9" s="76">
        <v>6580</v>
      </c>
      <c r="CH9" s="76">
        <v>7100</v>
      </c>
      <c r="CI9" s="76">
        <v>7170</v>
      </c>
      <c r="CJ9" s="76">
        <v>7130</v>
      </c>
      <c r="CK9" s="76">
        <v>7220</v>
      </c>
      <c r="CL9" s="76">
        <v>7190</v>
      </c>
      <c r="CM9" s="76">
        <v>7130</v>
      </c>
      <c r="CN9" s="76">
        <v>7100</v>
      </c>
      <c r="CO9" s="76">
        <v>7090</v>
      </c>
      <c r="CP9" s="76">
        <v>7110</v>
      </c>
      <c r="CQ9" s="76">
        <v>7110</v>
      </c>
      <c r="CR9" s="76">
        <v>7020</v>
      </c>
      <c r="CS9" s="76">
        <v>7050</v>
      </c>
      <c r="CT9" s="76">
        <v>7030</v>
      </c>
      <c r="CU9" s="76">
        <v>7000</v>
      </c>
      <c r="CV9" s="76">
        <v>6950</v>
      </c>
      <c r="CW9" s="76">
        <v>6830</v>
      </c>
      <c r="CX9" s="76">
        <v>6810</v>
      </c>
      <c r="CY9" s="76">
        <v>6760</v>
      </c>
      <c r="CZ9" s="76">
        <v>6710</v>
      </c>
      <c r="DA9" s="76">
        <v>6660</v>
      </c>
      <c r="DB9" s="76">
        <v>6620</v>
      </c>
      <c r="DC9" s="76">
        <v>6550</v>
      </c>
      <c r="DD9" s="76">
        <v>6490</v>
      </c>
      <c r="DE9" s="76">
        <v>6590</v>
      </c>
      <c r="DF9" s="76">
        <v>6520</v>
      </c>
      <c r="DG9" s="76">
        <v>6540</v>
      </c>
      <c r="DH9" s="76">
        <v>6500</v>
      </c>
      <c r="DI9" s="76">
        <v>6430</v>
      </c>
      <c r="DJ9" s="76">
        <v>6410</v>
      </c>
      <c r="DK9" s="76">
        <v>6370</v>
      </c>
      <c r="DL9" s="75">
        <v>6300</v>
      </c>
      <c r="DM9" s="75">
        <v>6310</v>
      </c>
      <c r="DN9" s="75">
        <v>6310</v>
      </c>
      <c r="DO9" s="75">
        <v>6430</v>
      </c>
      <c r="DP9" s="75">
        <v>6370</v>
      </c>
      <c r="DQ9" s="75">
        <v>6420</v>
      </c>
      <c r="DR9" s="75">
        <v>6460</v>
      </c>
      <c r="DS9" s="75">
        <v>6580</v>
      </c>
      <c r="DT9" s="75">
        <v>6550</v>
      </c>
      <c r="DU9" s="75">
        <v>6540</v>
      </c>
      <c r="DV9" s="137">
        <v>6510</v>
      </c>
      <c r="DW9" s="137">
        <v>6490</v>
      </c>
      <c r="DX9" s="137">
        <v>6490</v>
      </c>
      <c r="DY9" s="137">
        <v>6490</v>
      </c>
      <c r="DZ9" s="137">
        <v>6580</v>
      </c>
      <c r="EA9" s="149">
        <v>6560</v>
      </c>
    </row>
    <row r="10" spans="1:131" s="8" customFormat="1" ht="16" customHeight="1" x14ac:dyDescent="0.25">
      <c r="A10" s="66" t="s">
        <v>39</v>
      </c>
      <c r="B10" s="67">
        <v>40540</v>
      </c>
      <c r="C10" s="67">
        <v>40240</v>
      </c>
      <c r="D10" s="67">
        <v>40050</v>
      </c>
      <c r="E10" s="67">
        <v>40230</v>
      </c>
      <c r="F10" s="67">
        <v>40530</v>
      </c>
      <c r="G10" s="67">
        <v>40020</v>
      </c>
      <c r="H10" s="67">
        <v>40030</v>
      </c>
      <c r="I10" s="67">
        <v>40040</v>
      </c>
      <c r="J10" s="67">
        <v>39950</v>
      </c>
      <c r="K10" s="67">
        <v>39460</v>
      </c>
      <c r="L10" s="67">
        <v>39800</v>
      </c>
      <c r="M10" s="67">
        <v>39820</v>
      </c>
      <c r="N10" s="67">
        <v>39870</v>
      </c>
      <c r="O10" s="67">
        <v>39650</v>
      </c>
      <c r="P10" s="67">
        <v>39200</v>
      </c>
      <c r="Q10" s="67">
        <v>39220</v>
      </c>
      <c r="R10" s="67">
        <v>39530</v>
      </c>
      <c r="S10" s="67">
        <v>39070</v>
      </c>
      <c r="T10" s="67">
        <v>39010</v>
      </c>
      <c r="U10" s="67">
        <v>38880</v>
      </c>
      <c r="V10" s="67">
        <v>38860</v>
      </c>
      <c r="W10" s="67">
        <v>38060</v>
      </c>
      <c r="X10" s="67">
        <v>38820</v>
      </c>
      <c r="Y10" s="67">
        <v>38150</v>
      </c>
      <c r="Z10" s="67">
        <v>37750</v>
      </c>
      <c r="AA10" s="67">
        <v>37770</v>
      </c>
      <c r="AB10" s="67">
        <v>37530</v>
      </c>
      <c r="AC10" s="67">
        <v>37260</v>
      </c>
      <c r="AD10" s="67">
        <v>37360</v>
      </c>
      <c r="AE10" s="67">
        <v>36830</v>
      </c>
      <c r="AF10" s="67">
        <v>36610</v>
      </c>
      <c r="AG10" s="67">
        <v>36470</v>
      </c>
      <c r="AH10" s="67">
        <v>36470</v>
      </c>
      <c r="AI10" s="67">
        <v>36040</v>
      </c>
      <c r="AJ10" s="67">
        <v>36190</v>
      </c>
      <c r="AK10" s="67">
        <v>36270</v>
      </c>
      <c r="AL10" s="67">
        <v>36010</v>
      </c>
      <c r="AM10" s="67">
        <v>36020</v>
      </c>
      <c r="AN10" s="67">
        <v>35930</v>
      </c>
      <c r="AO10" s="67">
        <v>35770</v>
      </c>
      <c r="AP10" s="67">
        <v>36000</v>
      </c>
      <c r="AQ10" s="67">
        <v>35620</v>
      </c>
      <c r="AR10" s="67">
        <v>35440</v>
      </c>
      <c r="AS10" s="67">
        <v>35100</v>
      </c>
      <c r="AT10" s="67">
        <v>35020</v>
      </c>
      <c r="AU10" s="68">
        <v>34630</v>
      </c>
      <c r="AV10" s="68">
        <v>34740</v>
      </c>
      <c r="AW10" s="68">
        <v>35660</v>
      </c>
      <c r="AX10" s="68">
        <v>35600</v>
      </c>
      <c r="AY10" s="68">
        <v>35740</v>
      </c>
      <c r="AZ10" s="68">
        <v>35720</v>
      </c>
      <c r="BA10" s="68">
        <v>37630</v>
      </c>
      <c r="BB10" s="68">
        <v>35370</v>
      </c>
      <c r="BC10" s="68">
        <v>34880</v>
      </c>
      <c r="BD10" s="69">
        <v>34810</v>
      </c>
      <c r="BE10" s="69">
        <v>34600</v>
      </c>
      <c r="BF10" s="69">
        <v>34420</v>
      </c>
      <c r="BG10" s="69">
        <v>34190</v>
      </c>
      <c r="BH10" s="69">
        <v>34390</v>
      </c>
      <c r="BI10" s="69">
        <v>34310</v>
      </c>
      <c r="BJ10" s="67">
        <v>34110</v>
      </c>
      <c r="BK10" s="67">
        <v>33940</v>
      </c>
      <c r="BL10" s="67">
        <v>33910</v>
      </c>
      <c r="BM10" s="69">
        <v>34180</v>
      </c>
      <c r="BN10" s="69">
        <v>33940</v>
      </c>
      <c r="BO10" s="69">
        <v>33700</v>
      </c>
      <c r="BP10" s="69">
        <v>32700</v>
      </c>
      <c r="BQ10" s="69">
        <v>33440</v>
      </c>
      <c r="BR10" s="70">
        <v>33220</v>
      </c>
      <c r="BS10" s="71">
        <v>33090</v>
      </c>
      <c r="BT10" s="72">
        <v>33510</v>
      </c>
      <c r="BU10" s="73">
        <v>33460</v>
      </c>
      <c r="BV10" s="73">
        <v>33260</v>
      </c>
      <c r="BW10" s="73">
        <v>33360</v>
      </c>
      <c r="BX10" s="73">
        <v>33080</v>
      </c>
      <c r="BY10" s="73">
        <v>32990</v>
      </c>
      <c r="BZ10" s="73">
        <v>33230</v>
      </c>
      <c r="CA10" s="73">
        <v>32970</v>
      </c>
      <c r="CB10" s="73">
        <v>33080</v>
      </c>
      <c r="CC10" s="73">
        <v>32920</v>
      </c>
      <c r="CD10" s="73">
        <v>32860</v>
      </c>
      <c r="CE10" s="73">
        <v>32340</v>
      </c>
      <c r="CF10" s="73">
        <v>32840</v>
      </c>
      <c r="CG10" s="73">
        <v>32740</v>
      </c>
      <c r="CH10" s="73">
        <v>34010</v>
      </c>
      <c r="CI10" s="73">
        <v>35530</v>
      </c>
      <c r="CJ10" s="73">
        <v>36310</v>
      </c>
      <c r="CK10" s="73">
        <v>35990</v>
      </c>
      <c r="CL10" s="73">
        <v>36230</v>
      </c>
      <c r="CM10" s="73">
        <v>36460</v>
      </c>
      <c r="CN10" s="73">
        <v>36710</v>
      </c>
      <c r="CO10" s="73">
        <v>36340</v>
      </c>
      <c r="CP10" s="73">
        <v>36520</v>
      </c>
      <c r="CQ10" s="73">
        <v>35870</v>
      </c>
      <c r="CR10" s="73">
        <v>36050</v>
      </c>
      <c r="CS10" s="73">
        <v>35750</v>
      </c>
      <c r="CT10" s="73">
        <v>35520</v>
      </c>
      <c r="CU10" s="73">
        <v>35350</v>
      </c>
      <c r="CV10" s="73">
        <v>35080</v>
      </c>
      <c r="CW10" s="73">
        <v>34680</v>
      </c>
      <c r="CX10" s="73">
        <v>34720</v>
      </c>
      <c r="CY10" s="73">
        <v>34720</v>
      </c>
      <c r="CZ10" s="73">
        <v>34500</v>
      </c>
      <c r="DA10" s="73">
        <v>34100</v>
      </c>
      <c r="DB10" s="73">
        <v>33500</v>
      </c>
      <c r="DC10" s="73">
        <v>32730</v>
      </c>
      <c r="DD10" s="73">
        <v>32620</v>
      </c>
      <c r="DE10" s="73">
        <v>32200</v>
      </c>
      <c r="DF10" s="73">
        <v>31600</v>
      </c>
      <c r="DG10" s="73">
        <v>32050</v>
      </c>
      <c r="DH10" s="73">
        <v>31820</v>
      </c>
      <c r="DI10" s="73">
        <v>31460</v>
      </c>
      <c r="DJ10" s="73">
        <v>31350</v>
      </c>
      <c r="DK10" s="73">
        <v>31540</v>
      </c>
      <c r="DL10" s="68">
        <v>31410</v>
      </c>
      <c r="DM10" s="68">
        <v>31230</v>
      </c>
      <c r="DN10" s="68">
        <v>31080</v>
      </c>
      <c r="DO10" s="68">
        <v>30820</v>
      </c>
      <c r="DP10" s="68">
        <v>30770</v>
      </c>
      <c r="DQ10" s="68">
        <v>30800</v>
      </c>
      <c r="DR10" s="68">
        <v>30900</v>
      </c>
      <c r="DS10" s="68">
        <v>31050</v>
      </c>
      <c r="DT10" s="68">
        <v>30810</v>
      </c>
      <c r="DU10" s="68">
        <v>30960</v>
      </c>
      <c r="DV10" s="68">
        <v>31030</v>
      </c>
      <c r="DW10" s="68">
        <v>31120</v>
      </c>
      <c r="DX10" s="68">
        <v>31180</v>
      </c>
      <c r="DY10" s="68">
        <v>30860</v>
      </c>
      <c r="DZ10" s="68">
        <v>31050</v>
      </c>
      <c r="EA10" s="148">
        <v>30790</v>
      </c>
    </row>
    <row r="11" spans="1:131" s="8" customFormat="1" ht="16" customHeight="1" x14ac:dyDescent="0.25">
      <c r="A11" s="51" t="s">
        <v>5</v>
      </c>
      <c r="B11" s="74">
        <v>5680</v>
      </c>
      <c r="C11" s="74">
        <v>5660</v>
      </c>
      <c r="D11" s="74">
        <v>5690</v>
      </c>
      <c r="E11" s="74">
        <v>5710</v>
      </c>
      <c r="F11" s="74">
        <v>5770</v>
      </c>
      <c r="G11" s="74">
        <v>5800</v>
      </c>
      <c r="H11" s="74">
        <v>5870</v>
      </c>
      <c r="I11" s="74">
        <v>5710</v>
      </c>
      <c r="J11" s="74">
        <v>5710</v>
      </c>
      <c r="K11" s="74">
        <v>5750</v>
      </c>
      <c r="L11" s="74">
        <v>5740</v>
      </c>
      <c r="M11" s="74">
        <v>5780</v>
      </c>
      <c r="N11" s="74">
        <v>5810</v>
      </c>
      <c r="O11" s="74">
        <v>5800</v>
      </c>
      <c r="P11" s="74">
        <v>5770</v>
      </c>
      <c r="Q11" s="74">
        <v>5760</v>
      </c>
      <c r="R11" s="74">
        <v>5780</v>
      </c>
      <c r="S11" s="74">
        <v>5710</v>
      </c>
      <c r="T11" s="74">
        <v>5680</v>
      </c>
      <c r="U11" s="74">
        <v>5640</v>
      </c>
      <c r="V11" s="74">
        <v>5590</v>
      </c>
      <c r="W11" s="74">
        <v>5540</v>
      </c>
      <c r="X11" s="74">
        <v>5520</v>
      </c>
      <c r="Y11" s="74">
        <v>5560</v>
      </c>
      <c r="Z11" s="74">
        <v>5490</v>
      </c>
      <c r="AA11" s="74">
        <v>5500</v>
      </c>
      <c r="AB11" s="74">
        <v>5460</v>
      </c>
      <c r="AC11" s="74">
        <v>5480</v>
      </c>
      <c r="AD11" s="74">
        <v>5410</v>
      </c>
      <c r="AE11" s="74">
        <v>5400</v>
      </c>
      <c r="AF11" s="74">
        <v>5490</v>
      </c>
      <c r="AG11" s="74">
        <v>5510</v>
      </c>
      <c r="AH11" s="74">
        <v>5460</v>
      </c>
      <c r="AI11" s="74">
        <v>5390</v>
      </c>
      <c r="AJ11" s="74">
        <v>5470</v>
      </c>
      <c r="AK11" s="74">
        <v>5480</v>
      </c>
      <c r="AL11" s="74">
        <v>5440</v>
      </c>
      <c r="AM11" s="74">
        <v>5430</v>
      </c>
      <c r="AN11" s="74">
        <v>5400</v>
      </c>
      <c r="AO11" s="74">
        <v>5420</v>
      </c>
      <c r="AP11" s="74">
        <v>5410</v>
      </c>
      <c r="AQ11" s="74">
        <v>5350</v>
      </c>
      <c r="AR11" s="74">
        <v>5290</v>
      </c>
      <c r="AS11" s="74">
        <v>5250</v>
      </c>
      <c r="AT11" s="74">
        <v>5260</v>
      </c>
      <c r="AU11" s="75">
        <v>5230</v>
      </c>
      <c r="AV11" s="75">
        <v>5230</v>
      </c>
      <c r="AW11" s="75">
        <v>5300</v>
      </c>
      <c r="AX11" s="75">
        <v>5320</v>
      </c>
      <c r="AY11" s="75">
        <v>5350</v>
      </c>
      <c r="AZ11" s="75">
        <v>5260</v>
      </c>
      <c r="BA11" s="75">
        <v>5210</v>
      </c>
      <c r="BB11" s="75">
        <v>5290</v>
      </c>
      <c r="BC11" s="75">
        <v>5270</v>
      </c>
      <c r="BD11" s="76">
        <v>5250</v>
      </c>
      <c r="BE11" s="76">
        <v>5220</v>
      </c>
      <c r="BF11" s="76">
        <v>5190</v>
      </c>
      <c r="BG11" s="76">
        <v>5200</v>
      </c>
      <c r="BH11" s="76">
        <v>5120</v>
      </c>
      <c r="BI11" s="76">
        <v>5120</v>
      </c>
      <c r="BJ11" s="74">
        <v>5090</v>
      </c>
      <c r="BK11" s="74">
        <v>5110</v>
      </c>
      <c r="BL11" s="74">
        <v>5000</v>
      </c>
      <c r="BM11" s="76">
        <v>4970</v>
      </c>
      <c r="BN11" s="76">
        <v>5050</v>
      </c>
      <c r="BO11" s="76">
        <v>5010</v>
      </c>
      <c r="BP11" s="76">
        <v>4940</v>
      </c>
      <c r="BQ11" s="76">
        <v>5050</v>
      </c>
      <c r="BR11" s="76">
        <v>5070</v>
      </c>
      <c r="BS11" s="74">
        <v>5040</v>
      </c>
      <c r="BT11" s="74">
        <v>5100</v>
      </c>
      <c r="BU11" s="74">
        <v>5140</v>
      </c>
      <c r="BV11" s="76">
        <v>5110</v>
      </c>
      <c r="BW11" s="76">
        <v>5090</v>
      </c>
      <c r="BX11" s="76">
        <v>5040</v>
      </c>
      <c r="BY11" s="76">
        <v>5050</v>
      </c>
      <c r="BZ11" s="76">
        <v>5050</v>
      </c>
      <c r="CA11" s="76">
        <v>5020</v>
      </c>
      <c r="CB11" s="76">
        <v>5000</v>
      </c>
      <c r="CC11" s="76">
        <v>4960</v>
      </c>
      <c r="CD11" s="76">
        <v>4960</v>
      </c>
      <c r="CE11" s="76">
        <v>4960</v>
      </c>
      <c r="CF11" s="76">
        <v>4970</v>
      </c>
      <c r="CG11" s="76">
        <v>5020</v>
      </c>
      <c r="CH11" s="76">
        <v>5370</v>
      </c>
      <c r="CI11" s="76">
        <v>5510</v>
      </c>
      <c r="CJ11" s="76">
        <v>5540</v>
      </c>
      <c r="CK11" s="76">
        <v>5550</v>
      </c>
      <c r="CL11" s="76">
        <v>5620</v>
      </c>
      <c r="CM11" s="76">
        <v>5570</v>
      </c>
      <c r="CN11" s="76">
        <v>5500</v>
      </c>
      <c r="CO11" s="76">
        <v>5440</v>
      </c>
      <c r="CP11" s="76">
        <v>5400</v>
      </c>
      <c r="CQ11" s="76">
        <v>5410</v>
      </c>
      <c r="CR11" s="76">
        <v>5410</v>
      </c>
      <c r="CS11" s="76">
        <v>5420</v>
      </c>
      <c r="CT11" s="76">
        <v>5410</v>
      </c>
      <c r="CU11" s="76">
        <v>5380</v>
      </c>
      <c r="CV11" s="76">
        <v>5370</v>
      </c>
      <c r="CW11" s="76">
        <v>5350</v>
      </c>
      <c r="CX11" s="76">
        <v>5300</v>
      </c>
      <c r="CY11" s="76">
        <v>5260</v>
      </c>
      <c r="CZ11" s="76">
        <v>5230</v>
      </c>
      <c r="DA11" s="76">
        <v>5210</v>
      </c>
      <c r="DB11" s="76">
        <v>5220</v>
      </c>
      <c r="DC11" s="76">
        <v>5110</v>
      </c>
      <c r="DD11" s="76">
        <v>5090</v>
      </c>
      <c r="DE11" s="76">
        <v>5090</v>
      </c>
      <c r="DF11" s="76">
        <v>5150</v>
      </c>
      <c r="DG11" s="76">
        <v>5180</v>
      </c>
      <c r="DH11" s="76">
        <v>5210</v>
      </c>
      <c r="DI11" s="76">
        <v>5180</v>
      </c>
      <c r="DJ11" s="76">
        <v>5170</v>
      </c>
      <c r="DK11" s="76">
        <v>5140</v>
      </c>
      <c r="DL11" s="75">
        <v>5130</v>
      </c>
      <c r="DM11" s="75">
        <v>5140</v>
      </c>
      <c r="DN11" s="75">
        <v>5130</v>
      </c>
      <c r="DO11" s="75">
        <v>5120</v>
      </c>
      <c r="DP11" s="75">
        <v>5110</v>
      </c>
      <c r="DQ11" s="75">
        <v>5050</v>
      </c>
      <c r="DR11" s="75">
        <v>5130</v>
      </c>
      <c r="DS11" s="75">
        <v>5200</v>
      </c>
      <c r="DT11" s="75">
        <v>5180</v>
      </c>
      <c r="DU11" s="75">
        <v>5190</v>
      </c>
      <c r="DV11" s="137">
        <v>5160</v>
      </c>
      <c r="DW11" s="137">
        <v>5170</v>
      </c>
      <c r="DX11" s="137">
        <v>5180</v>
      </c>
      <c r="DY11" s="137">
        <v>5170</v>
      </c>
      <c r="DZ11" s="137">
        <v>5170</v>
      </c>
      <c r="EA11" s="149">
        <v>5190</v>
      </c>
    </row>
    <row r="12" spans="1:131" s="8" customFormat="1" ht="16" customHeight="1" x14ac:dyDescent="0.25">
      <c r="A12" s="66" t="s">
        <v>6</v>
      </c>
      <c r="B12" s="67">
        <v>14750</v>
      </c>
      <c r="C12" s="67">
        <v>14800</v>
      </c>
      <c r="D12" s="67">
        <v>14810</v>
      </c>
      <c r="E12" s="67">
        <v>14830</v>
      </c>
      <c r="F12" s="67">
        <v>14790</v>
      </c>
      <c r="G12" s="67">
        <v>14710</v>
      </c>
      <c r="H12" s="67">
        <v>14590</v>
      </c>
      <c r="I12" s="67">
        <v>14560</v>
      </c>
      <c r="J12" s="67">
        <v>14520</v>
      </c>
      <c r="K12" s="67">
        <v>14470</v>
      </c>
      <c r="L12" s="67">
        <v>14530</v>
      </c>
      <c r="M12" s="67">
        <v>14570</v>
      </c>
      <c r="N12" s="67">
        <v>14490</v>
      </c>
      <c r="O12" s="67">
        <v>14420</v>
      </c>
      <c r="P12" s="67">
        <v>14400</v>
      </c>
      <c r="Q12" s="67">
        <v>14360</v>
      </c>
      <c r="R12" s="67">
        <v>14410</v>
      </c>
      <c r="S12" s="67">
        <v>14330</v>
      </c>
      <c r="T12" s="67">
        <v>14260</v>
      </c>
      <c r="U12" s="67">
        <v>14240</v>
      </c>
      <c r="V12" s="67">
        <v>14240</v>
      </c>
      <c r="W12" s="67">
        <v>14210</v>
      </c>
      <c r="X12" s="67">
        <v>14230</v>
      </c>
      <c r="Y12" s="67">
        <v>14210</v>
      </c>
      <c r="Z12" s="67">
        <v>14080</v>
      </c>
      <c r="AA12" s="67">
        <v>14020</v>
      </c>
      <c r="AB12" s="67">
        <v>13750</v>
      </c>
      <c r="AC12" s="67">
        <v>13790</v>
      </c>
      <c r="AD12" s="67">
        <v>13820</v>
      </c>
      <c r="AE12" s="67">
        <v>13760</v>
      </c>
      <c r="AF12" s="67">
        <v>13650</v>
      </c>
      <c r="AG12" s="67">
        <v>13620</v>
      </c>
      <c r="AH12" s="67">
        <v>13570</v>
      </c>
      <c r="AI12" s="67">
        <v>13540</v>
      </c>
      <c r="AJ12" s="67">
        <v>13580</v>
      </c>
      <c r="AK12" s="67">
        <v>13590</v>
      </c>
      <c r="AL12" s="67">
        <v>13530</v>
      </c>
      <c r="AM12" s="67">
        <v>13640</v>
      </c>
      <c r="AN12" s="67">
        <v>13490</v>
      </c>
      <c r="AO12" s="67">
        <v>13510</v>
      </c>
      <c r="AP12" s="67">
        <v>13510</v>
      </c>
      <c r="AQ12" s="67">
        <v>13410</v>
      </c>
      <c r="AR12" s="67">
        <v>13270</v>
      </c>
      <c r="AS12" s="67">
        <v>13200</v>
      </c>
      <c r="AT12" s="67">
        <v>13260</v>
      </c>
      <c r="AU12" s="68">
        <v>13140</v>
      </c>
      <c r="AV12" s="68">
        <v>13190</v>
      </c>
      <c r="AW12" s="68">
        <v>13260</v>
      </c>
      <c r="AX12" s="68">
        <v>13360</v>
      </c>
      <c r="AY12" s="68">
        <v>13370</v>
      </c>
      <c r="AZ12" s="68">
        <v>13370</v>
      </c>
      <c r="BA12" s="68">
        <v>13400</v>
      </c>
      <c r="BB12" s="68">
        <v>13370</v>
      </c>
      <c r="BC12" s="68">
        <v>13330</v>
      </c>
      <c r="BD12" s="69">
        <v>13250</v>
      </c>
      <c r="BE12" s="69">
        <v>13270</v>
      </c>
      <c r="BF12" s="69">
        <v>13240</v>
      </c>
      <c r="BG12" s="69">
        <v>13200</v>
      </c>
      <c r="BH12" s="69">
        <v>13240</v>
      </c>
      <c r="BI12" s="69">
        <v>13310</v>
      </c>
      <c r="BJ12" s="67">
        <v>13090</v>
      </c>
      <c r="BK12" s="67">
        <v>13210</v>
      </c>
      <c r="BL12" s="67">
        <v>13240</v>
      </c>
      <c r="BM12" s="69">
        <v>13350</v>
      </c>
      <c r="BN12" s="69">
        <v>13380</v>
      </c>
      <c r="BO12" s="69">
        <v>13250</v>
      </c>
      <c r="BP12" s="69">
        <v>12970</v>
      </c>
      <c r="BQ12" s="69">
        <v>13280</v>
      </c>
      <c r="BR12" s="70">
        <v>13130</v>
      </c>
      <c r="BS12" s="71">
        <v>13170</v>
      </c>
      <c r="BT12" s="72">
        <v>13210</v>
      </c>
      <c r="BU12" s="73">
        <v>13250</v>
      </c>
      <c r="BV12" s="73">
        <v>13250</v>
      </c>
      <c r="BW12" s="73">
        <v>13290</v>
      </c>
      <c r="BX12" s="73">
        <v>13190</v>
      </c>
      <c r="BY12" s="73">
        <v>13230</v>
      </c>
      <c r="BZ12" s="73">
        <v>13190</v>
      </c>
      <c r="CA12" s="73">
        <v>13210</v>
      </c>
      <c r="CB12" s="73">
        <v>13140</v>
      </c>
      <c r="CC12" s="73">
        <v>13070</v>
      </c>
      <c r="CD12" s="73">
        <v>13140</v>
      </c>
      <c r="CE12" s="73">
        <v>13160</v>
      </c>
      <c r="CF12" s="73">
        <v>13240</v>
      </c>
      <c r="CG12" s="73">
        <v>13280</v>
      </c>
      <c r="CH12" s="73">
        <v>14230</v>
      </c>
      <c r="CI12" s="73">
        <v>14220</v>
      </c>
      <c r="CJ12" s="73">
        <v>14240</v>
      </c>
      <c r="CK12" s="73">
        <v>14300</v>
      </c>
      <c r="CL12" s="73">
        <v>14160</v>
      </c>
      <c r="CM12" s="73">
        <v>14180</v>
      </c>
      <c r="CN12" s="73">
        <v>14190</v>
      </c>
      <c r="CO12" s="73">
        <v>14210</v>
      </c>
      <c r="CP12" s="73">
        <v>14190</v>
      </c>
      <c r="CQ12" s="73">
        <v>13900</v>
      </c>
      <c r="CR12" s="73">
        <v>13880</v>
      </c>
      <c r="CS12" s="73">
        <v>13830</v>
      </c>
      <c r="CT12" s="73">
        <v>13750</v>
      </c>
      <c r="CU12" s="73">
        <v>13670</v>
      </c>
      <c r="CV12" s="73">
        <v>13580</v>
      </c>
      <c r="CW12" s="73">
        <v>13390</v>
      </c>
      <c r="CX12" s="73">
        <v>13220</v>
      </c>
      <c r="CY12" s="73">
        <v>13310</v>
      </c>
      <c r="CZ12" s="73">
        <v>13220</v>
      </c>
      <c r="DA12" s="73">
        <v>13230</v>
      </c>
      <c r="DB12" s="73">
        <v>13070</v>
      </c>
      <c r="DC12" s="73">
        <v>12770</v>
      </c>
      <c r="DD12" s="73">
        <v>12740</v>
      </c>
      <c r="DE12" s="73">
        <v>12660</v>
      </c>
      <c r="DF12" s="73">
        <v>12650</v>
      </c>
      <c r="DG12" s="73">
        <v>12820</v>
      </c>
      <c r="DH12" s="73">
        <v>12760</v>
      </c>
      <c r="DI12" s="73">
        <v>12830</v>
      </c>
      <c r="DJ12" s="73">
        <v>12890</v>
      </c>
      <c r="DK12" s="73">
        <v>13020</v>
      </c>
      <c r="DL12" s="68">
        <v>12870</v>
      </c>
      <c r="DM12" s="68">
        <v>12910</v>
      </c>
      <c r="DN12" s="68">
        <v>12920</v>
      </c>
      <c r="DO12" s="68">
        <v>13200</v>
      </c>
      <c r="DP12" s="68">
        <v>13370</v>
      </c>
      <c r="DQ12" s="68">
        <v>13150</v>
      </c>
      <c r="DR12" s="68">
        <v>13140</v>
      </c>
      <c r="DS12" s="68">
        <v>13530</v>
      </c>
      <c r="DT12" s="68">
        <v>13420</v>
      </c>
      <c r="DU12" s="68">
        <v>13480</v>
      </c>
      <c r="DV12" s="68">
        <v>13370</v>
      </c>
      <c r="DW12" s="68">
        <v>13380</v>
      </c>
      <c r="DX12" s="68">
        <v>13390</v>
      </c>
      <c r="DY12" s="68">
        <v>13430</v>
      </c>
      <c r="DZ12" s="68">
        <v>13470</v>
      </c>
      <c r="EA12" s="148">
        <v>13450</v>
      </c>
    </row>
    <row r="13" spans="1:131" s="8" customFormat="1" ht="16" customHeight="1" x14ac:dyDescent="0.25">
      <c r="A13" s="51" t="s">
        <v>7</v>
      </c>
      <c r="B13" s="74">
        <v>20200</v>
      </c>
      <c r="C13" s="74">
        <v>20150</v>
      </c>
      <c r="D13" s="74">
        <v>20330</v>
      </c>
      <c r="E13" s="74">
        <v>20250</v>
      </c>
      <c r="F13" s="74">
        <v>20330</v>
      </c>
      <c r="G13" s="74">
        <v>20170</v>
      </c>
      <c r="H13" s="74">
        <v>19980</v>
      </c>
      <c r="I13" s="74">
        <v>19860</v>
      </c>
      <c r="J13" s="74">
        <v>19830</v>
      </c>
      <c r="K13" s="74">
        <v>19710</v>
      </c>
      <c r="L13" s="74">
        <v>19900</v>
      </c>
      <c r="M13" s="74">
        <v>19880</v>
      </c>
      <c r="N13" s="74">
        <v>20160</v>
      </c>
      <c r="O13" s="74">
        <v>19650</v>
      </c>
      <c r="P13" s="74">
        <v>20080</v>
      </c>
      <c r="Q13" s="74">
        <v>19930</v>
      </c>
      <c r="R13" s="74">
        <v>19890</v>
      </c>
      <c r="S13" s="74">
        <v>19730</v>
      </c>
      <c r="T13" s="74">
        <v>19510</v>
      </c>
      <c r="U13" s="74">
        <v>19460</v>
      </c>
      <c r="V13" s="74">
        <v>19370</v>
      </c>
      <c r="W13" s="74">
        <v>19210</v>
      </c>
      <c r="X13" s="74">
        <v>19410</v>
      </c>
      <c r="Y13" s="74">
        <v>19450</v>
      </c>
      <c r="Z13" s="74">
        <v>19270</v>
      </c>
      <c r="AA13" s="74">
        <v>19100</v>
      </c>
      <c r="AB13" s="74">
        <v>19200</v>
      </c>
      <c r="AC13" s="74">
        <v>19130</v>
      </c>
      <c r="AD13" s="74">
        <v>19080</v>
      </c>
      <c r="AE13" s="74">
        <v>18830</v>
      </c>
      <c r="AF13" s="74">
        <v>18580</v>
      </c>
      <c r="AG13" s="74">
        <v>18460</v>
      </c>
      <c r="AH13" s="74">
        <v>18430</v>
      </c>
      <c r="AI13" s="74">
        <v>18250</v>
      </c>
      <c r="AJ13" s="74">
        <v>18370</v>
      </c>
      <c r="AK13" s="74">
        <v>18430</v>
      </c>
      <c r="AL13" s="74">
        <v>18490</v>
      </c>
      <c r="AM13" s="74">
        <v>18420</v>
      </c>
      <c r="AN13" s="74">
        <v>18540</v>
      </c>
      <c r="AO13" s="74">
        <v>18560</v>
      </c>
      <c r="AP13" s="74">
        <v>18590</v>
      </c>
      <c r="AQ13" s="74">
        <v>18560</v>
      </c>
      <c r="AR13" s="74">
        <v>18360</v>
      </c>
      <c r="AS13" s="74">
        <v>18310</v>
      </c>
      <c r="AT13" s="74">
        <v>18310</v>
      </c>
      <c r="AU13" s="75">
        <v>18180</v>
      </c>
      <c r="AV13" s="75">
        <v>18210</v>
      </c>
      <c r="AW13" s="75">
        <v>18230</v>
      </c>
      <c r="AX13" s="75">
        <v>18190</v>
      </c>
      <c r="AY13" s="75">
        <v>18160</v>
      </c>
      <c r="AZ13" s="75">
        <v>18320</v>
      </c>
      <c r="BA13" s="75">
        <v>18350</v>
      </c>
      <c r="BB13" s="75">
        <v>18460</v>
      </c>
      <c r="BC13" s="75">
        <v>18330</v>
      </c>
      <c r="BD13" s="76">
        <v>18190</v>
      </c>
      <c r="BE13" s="76">
        <v>17940</v>
      </c>
      <c r="BF13" s="76">
        <v>18020</v>
      </c>
      <c r="BG13" s="76">
        <v>17840</v>
      </c>
      <c r="BH13" s="76">
        <v>17830</v>
      </c>
      <c r="BI13" s="76">
        <v>17940</v>
      </c>
      <c r="BJ13" s="74">
        <v>18070</v>
      </c>
      <c r="BK13" s="74">
        <v>17940</v>
      </c>
      <c r="BL13" s="74">
        <v>17940</v>
      </c>
      <c r="BM13" s="76">
        <v>17900</v>
      </c>
      <c r="BN13" s="76">
        <v>17980</v>
      </c>
      <c r="BO13" s="76">
        <v>17880</v>
      </c>
      <c r="BP13" s="76">
        <v>17320</v>
      </c>
      <c r="BQ13" s="76">
        <v>17670</v>
      </c>
      <c r="BR13" s="76">
        <v>17380</v>
      </c>
      <c r="BS13" s="74">
        <v>17550</v>
      </c>
      <c r="BT13" s="74">
        <v>17610</v>
      </c>
      <c r="BU13" s="74">
        <v>17730</v>
      </c>
      <c r="BV13" s="76">
        <v>17790</v>
      </c>
      <c r="BW13" s="76">
        <v>17650</v>
      </c>
      <c r="BX13" s="76">
        <v>17930</v>
      </c>
      <c r="BY13" s="76">
        <v>17930</v>
      </c>
      <c r="BZ13" s="76">
        <v>17940</v>
      </c>
      <c r="CA13" s="76">
        <v>17830</v>
      </c>
      <c r="CB13" s="76">
        <v>17610</v>
      </c>
      <c r="CC13" s="76">
        <v>17500</v>
      </c>
      <c r="CD13" s="76">
        <v>17410</v>
      </c>
      <c r="CE13" s="76">
        <v>17320</v>
      </c>
      <c r="CF13" s="76">
        <v>17220</v>
      </c>
      <c r="CG13" s="76">
        <v>17340</v>
      </c>
      <c r="CH13" s="76">
        <v>18130</v>
      </c>
      <c r="CI13" s="76">
        <v>18140</v>
      </c>
      <c r="CJ13" s="76">
        <v>18310</v>
      </c>
      <c r="CK13" s="76">
        <v>18420</v>
      </c>
      <c r="CL13" s="76">
        <v>18470</v>
      </c>
      <c r="CM13" s="76">
        <v>18410</v>
      </c>
      <c r="CN13" s="76">
        <v>18350</v>
      </c>
      <c r="CO13" s="76">
        <v>18210</v>
      </c>
      <c r="CP13" s="76">
        <v>18010</v>
      </c>
      <c r="CQ13" s="76">
        <v>17950</v>
      </c>
      <c r="CR13" s="76">
        <v>17900</v>
      </c>
      <c r="CS13" s="76">
        <v>17960</v>
      </c>
      <c r="CT13" s="76">
        <v>17980</v>
      </c>
      <c r="CU13" s="76">
        <v>17840</v>
      </c>
      <c r="CV13" s="76">
        <v>17960</v>
      </c>
      <c r="CW13" s="76">
        <v>18110</v>
      </c>
      <c r="CX13" s="76">
        <v>18160</v>
      </c>
      <c r="CY13" s="76">
        <v>18110</v>
      </c>
      <c r="CZ13" s="76">
        <v>18060</v>
      </c>
      <c r="DA13" s="76">
        <v>18060</v>
      </c>
      <c r="DB13" s="76">
        <v>17730</v>
      </c>
      <c r="DC13" s="76">
        <v>17320</v>
      </c>
      <c r="DD13" s="76">
        <v>17250</v>
      </c>
      <c r="DE13" s="76">
        <v>17320</v>
      </c>
      <c r="DF13" s="76">
        <v>17350</v>
      </c>
      <c r="DG13" s="76">
        <v>17080</v>
      </c>
      <c r="DH13" s="76">
        <v>17130</v>
      </c>
      <c r="DI13" s="76">
        <v>17280</v>
      </c>
      <c r="DJ13" s="76">
        <v>17350</v>
      </c>
      <c r="DK13" s="76">
        <v>17370</v>
      </c>
      <c r="DL13" s="75">
        <v>17020</v>
      </c>
      <c r="DM13" s="75">
        <v>16950</v>
      </c>
      <c r="DN13" s="75">
        <v>16960</v>
      </c>
      <c r="DO13" s="75">
        <v>17050</v>
      </c>
      <c r="DP13" s="75">
        <v>17070</v>
      </c>
      <c r="DQ13" s="75">
        <v>16970</v>
      </c>
      <c r="DR13" s="75">
        <v>16840</v>
      </c>
      <c r="DS13" s="75">
        <v>16910</v>
      </c>
      <c r="DT13" s="75">
        <v>16770</v>
      </c>
      <c r="DU13" s="75">
        <v>16760</v>
      </c>
      <c r="DV13" s="137">
        <v>16820</v>
      </c>
      <c r="DW13" s="137">
        <v>16800</v>
      </c>
      <c r="DX13" s="137">
        <v>16780</v>
      </c>
      <c r="DY13" s="137">
        <v>16810</v>
      </c>
      <c r="DZ13" s="137">
        <v>17050</v>
      </c>
      <c r="EA13" s="149">
        <v>16500</v>
      </c>
    </row>
    <row r="14" spans="1:131" s="8" customFormat="1" ht="16" customHeight="1" x14ac:dyDescent="0.25">
      <c r="A14" s="66" t="s">
        <v>8</v>
      </c>
      <c r="B14" s="67">
        <v>16180</v>
      </c>
      <c r="C14" s="67">
        <v>16200</v>
      </c>
      <c r="D14" s="67">
        <v>16250</v>
      </c>
      <c r="E14" s="67">
        <v>16070</v>
      </c>
      <c r="F14" s="67">
        <v>16260</v>
      </c>
      <c r="G14" s="67">
        <v>15970</v>
      </c>
      <c r="H14" s="67">
        <v>15930</v>
      </c>
      <c r="I14" s="67">
        <v>15890</v>
      </c>
      <c r="J14" s="67">
        <v>15910</v>
      </c>
      <c r="K14" s="67">
        <v>15910</v>
      </c>
      <c r="L14" s="67">
        <v>15750</v>
      </c>
      <c r="M14" s="67">
        <v>15660</v>
      </c>
      <c r="N14" s="67">
        <v>15670</v>
      </c>
      <c r="O14" s="67">
        <v>15500</v>
      </c>
      <c r="P14" s="67">
        <v>15470</v>
      </c>
      <c r="Q14" s="67">
        <v>15500</v>
      </c>
      <c r="R14" s="67">
        <v>15510</v>
      </c>
      <c r="S14" s="67">
        <v>15450</v>
      </c>
      <c r="T14" s="67">
        <v>15390</v>
      </c>
      <c r="U14" s="67">
        <v>15370</v>
      </c>
      <c r="V14" s="67">
        <v>15130</v>
      </c>
      <c r="W14" s="67">
        <v>15080</v>
      </c>
      <c r="X14" s="67">
        <v>15150</v>
      </c>
      <c r="Y14" s="67">
        <v>15180</v>
      </c>
      <c r="Z14" s="67">
        <v>15000</v>
      </c>
      <c r="AA14" s="67">
        <v>14930</v>
      </c>
      <c r="AB14" s="67">
        <v>14570</v>
      </c>
      <c r="AC14" s="67">
        <v>14790</v>
      </c>
      <c r="AD14" s="67">
        <v>14800</v>
      </c>
      <c r="AE14" s="67">
        <v>14690</v>
      </c>
      <c r="AF14" s="67">
        <v>14480</v>
      </c>
      <c r="AG14" s="67">
        <v>14410</v>
      </c>
      <c r="AH14" s="67">
        <v>14370</v>
      </c>
      <c r="AI14" s="67">
        <v>14300</v>
      </c>
      <c r="AJ14" s="67">
        <v>14260</v>
      </c>
      <c r="AK14" s="67">
        <v>14280</v>
      </c>
      <c r="AL14" s="67">
        <v>14110</v>
      </c>
      <c r="AM14" s="67">
        <v>14140</v>
      </c>
      <c r="AN14" s="67">
        <v>14020</v>
      </c>
      <c r="AO14" s="67">
        <v>14040</v>
      </c>
      <c r="AP14" s="67">
        <v>14060</v>
      </c>
      <c r="AQ14" s="67">
        <v>13880</v>
      </c>
      <c r="AR14" s="67">
        <v>13750</v>
      </c>
      <c r="AS14" s="67">
        <v>13670</v>
      </c>
      <c r="AT14" s="67">
        <v>13980</v>
      </c>
      <c r="AU14" s="68">
        <v>13570</v>
      </c>
      <c r="AV14" s="68">
        <v>13590</v>
      </c>
      <c r="AW14" s="68">
        <v>13680</v>
      </c>
      <c r="AX14" s="68">
        <v>13560</v>
      </c>
      <c r="AY14" s="68">
        <v>13630</v>
      </c>
      <c r="AZ14" s="68">
        <v>13560</v>
      </c>
      <c r="BA14" s="68">
        <v>13620</v>
      </c>
      <c r="BB14" s="68">
        <v>13620</v>
      </c>
      <c r="BC14" s="68">
        <v>13470</v>
      </c>
      <c r="BD14" s="69">
        <v>13370</v>
      </c>
      <c r="BE14" s="69">
        <v>13300</v>
      </c>
      <c r="BF14" s="69">
        <v>13040</v>
      </c>
      <c r="BG14" s="69">
        <v>13010</v>
      </c>
      <c r="BH14" s="69">
        <v>13150</v>
      </c>
      <c r="BI14" s="69">
        <v>13210</v>
      </c>
      <c r="BJ14" s="67">
        <v>12980</v>
      </c>
      <c r="BK14" s="67">
        <v>13050</v>
      </c>
      <c r="BL14" s="67">
        <v>13120</v>
      </c>
      <c r="BM14" s="69">
        <v>13170</v>
      </c>
      <c r="BN14" s="69">
        <v>13210</v>
      </c>
      <c r="BO14" s="69">
        <v>13170</v>
      </c>
      <c r="BP14" s="69">
        <v>12830</v>
      </c>
      <c r="BQ14" s="69">
        <v>13010</v>
      </c>
      <c r="BR14" s="70">
        <v>13040</v>
      </c>
      <c r="BS14" s="71">
        <v>13130</v>
      </c>
      <c r="BT14" s="72">
        <v>13150</v>
      </c>
      <c r="BU14" s="73">
        <v>13210</v>
      </c>
      <c r="BV14" s="73">
        <v>13100</v>
      </c>
      <c r="BW14" s="73">
        <v>13110</v>
      </c>
      <c r="BX14" s="73">
        <v>12960</v>
      </c>
      <c r="BY14" s="73">
        <v>13060</v>
      </c>
      <c r="BZ14" s="73">
        <v>13140</v>
      </c>
      <c r="CA14" s="73">
        <v>13050</v>
      </c>
      <c r="CB14" s="73">
        <v>13030</v>
      </c>
      <c r="CC14" s="73">
        <v>12990</v>
      </c>
      <c r="CD14" s="73">
        <v>13010</v>
      </c>
      <c r="CE14" s="73">
        <v>12910</v>
      </c>
      <c r="CF14" s="73">
        <v>12920</v>
      </c>
      <c r="CG14" s="73">
        <v>12920</v>
      </c>
      <c r="CH14" s="73">
        <v>13430</v>
      </c>
      <c r="CI14" s="73">
        <v>13650</v>
      </c>
      <c r="CJ14" s="73">
        <v>13660</v>
      </c>
      <c r="CK14" s="73">
        <v>13670</v>
      </c>
      <c r="CL14" s="73">
        <v>13730</v>
      </c>
      <c r="CM14" s="73">
        <v>13590</v>
      </c>
      <c r="CN14" s="73">
        <v>13530</v>
      </c>
      <c r="CO14" s="73">
        <v>13510</v>
      </c>
      <c r="CP14" s="73">
        <v>13520</v>
      </c>
      <c r="CQ14" s="73">
        <v>13490</v>
      </c>
      <c r="CR14" s="73">
        <v>13520</v>
      </c>
      <c r="CS14" s="73">
        <v>13590</v>
      </c>
      <c r="CT14" s="73">
        <v>13550</v>
      </c>
      <c r="CU14" s="73">
        <v>13510</v>
      </c>
      <c r="CV14" s="73">
        <v>13520</v>
      </c>
      <c r="CW14" s="73">
        <v>13450</v>
      </c>
      <c r="CX14" s="73">
        <v>13420</v>
      </c>
      <c r="CY14" s="73">
        <v>13300</v>
      </c>
      <c r="CZ14" s="73">
        <v>13170</v>
      </c>
      <c r="DA14" s="73">
        <v>13240</v>
      </c>
      <c r="DB14" s="73">
        <v>13170</v>
      </c>
      <c r="DC14" s="73">
        <v>13030</v>
      </c>
      <c r="DD14" s="73">
        <v>12850</v>
      </c>
      <c r="DE14" s="73">
        <v>12900</v>
      </c>
      <c r="DF14" s="73">
        <v>12910</v>
      </c>
      <c r="DG14" s="73">
        <v>12920</v>
      </c>
      <c r="DH14" s="73">
        <v>12860</v>
      </c>
      <c r="DI14" s="73">
        <v>12830</v>
      </c>
      <c r="DJ14" s="73">
        <v>12910</v>
      </c>
      <c r="DK14" s="73">
        <v>12860</v>
      </c>
      <c r="DL14" s="68">
        <v>12660</v>
      </c>
      <c r="DM14" s="68">
        <v>12620</v>
      </c>
      <c r="DN14" s="68">
        <v>12610</v>
      </c>
      <c r="DO14" s="68">
        <v>12690</v>
      </c>
      <c r="DP14" s="68">
        <v>12750</v>
      </c>
      <c r="DQ14" s="68">
        <v>12650</v>
      </c>
      <c r="DR14" s="68">
        <v>12700</v>
      </c>
      <c r="DS14" s="68">
        <v>12830</v>
      </c>
      <c r="DT14" s="68">
        <v>12760</v>
      </c>
      <c r="DU14" s="68">
        <v>12740</v>
      </c>
      <c r="DV14" s="68">
        <v>12780</v>
      </c>
      <c r="DW14" s="68">
        <v>12700</v>
      </c>
      <c r="DX14" s="68">
        <v>12710</v>
      </c>
      <c r="DY14" s="68">
        <v>12670</v>
      </c>
      <c r="DZ14" s="68">
        <v>12670</v>
      </c>
      <c r="EA14" s="148">
        <v>12690</v>
      </c>
    </row>
    <row r="15" spans="1:131" s="8" customFormat="1" ht="16" customHeight="1" x14ac:dyDescent="0.25">
      <c r="A15" s="51" t="s">
        <v>9</v>
      </c>
      <c r="B15" s="74">
        <v>6280</v>
      </c>
      <c r="C15" s="74">
        <v>6250</v>
      </c>
      <c r="D15" s="74">
        <v>6210</v>
      </c>
      <c r="E15" s="74">
        <v>6260</v>
      </c>
      <c r="F15" s="74">
        <v>6300</v>
      </c>
      <c r="G15" s="74">
        <v>6230</v>
      </c>
      <c r="H15" s="74">
        <v>6240</v>
      </c>
      <c r="I15" s="74">
        <v>6200</v>
      </c>
      <c r="J15" s="74">
        <v>6230</v>
      </c>
      <c r="K15" s="74">
        <v>6150</v>
      </c>
      <c r="L15" s="74">
        <v>6170</v>
      </c>
      <c r="M15" s="74">
        <v>6150</v>
      </c>
      <c r="N15" s="74">
        <v>6210</v>
      </c>
      <c r="O15" s="74">
        <v>6170</v>
      </c>
      <c r="P15" s="74">
        <v>6150</v>
      </c>
      <c r="Q15" s="74">
        <v>6140</v>
      </c>
      <c r="R15" s="74">
        <v>6130</v>
      </c>
      <c r="S15" s="74">
        <v>6110</v>
      </c>
      <c r="T15" s="74">
        <v>6060</v>
      </c>
      <c r="U15" s="74">
        <v>6050</v>
      </c>
      <c r="V15" s="74">
        <v>6060</v>
      </c>
      <c r="W15" s="74">
        <v>6030</v>
      </c>
      <c r="X15" s="74">
        <v>6030</v>
      </c>
      <c r="Y15" s="74">
        <v>5980</v>
      </c>
      <c r="Z15" s="74">
        <v>5890</v>
      </c>
      <c r="AA15" s="74">
        <v>5930</v>
      </c>
      <c r="AB15" s="74">
        <v>5850</v>
      </c>
      <c r="AC15" s="74">
        <v>5810</v>
      </c>
      <c r="AD15" s="74">
        <v>5880</v>
      </c>
      <c r="AE15" s="74">
        <v>5830</v>
      </c>
      <c r="AF15" s="74">
        <v>5810</v>
      </c>
      <c r="AG15" s="74">
        <v>5740</v>
      </c>
      <c r="AH15" s="74">
        <v>5740</v>
      </c>
      <c r="AI15" s="74">
        <v>5690</v>
      </c>
      <c r="AJ15" s="74">
        <v>5730</v>
      </c>
      <c r="AK15" s="74">
        <v>5750</v>
      </c>
      <c r="AL15" s="74">
        <v>5700</v>
      </c>
      <c r="AM15" s="74">
        <v>5650</v>
      </c>
      <c r="AN15" s="74">
        <v>5590</v>
      </c>
      <c r="AO15" s="74">
        <v>5610</v>
      </c>
      <c r="AP15" s="74">
        <v>5600</v>
      </c>
      <c r="AQ15" s="74">
        <v>5580</v>
      </c>
      <c r="AR15" s="74">
        <v>5570</v>
      </c>
      <c r="AS15" s="74">
        <v>5540</v>
      </c>
      <c r="AT15" s="74">
        <v>5470</v>
      </c>
      <c r="AU15" s="75">
        <v>5450</v>
      </c>
      <c r="AV15" s="75">
        <v>5450</v>
      </c>
      <c r="AW15" s="75">
        <v>5500</v>
      </c>
      <c r="AX15" s="75">
        <v>5510</v>
      </c>
      <c r="AY15" s="75">
        <v>5500</v>
      </c>
      <c r="AZ15" s="75">
        <v>5400</v>
      </c>
      <c r="BA15" s="75">
        <v>5400</v>
      </c>
      <c r="BB15" s="75">
        <v>5390</v>
      </c>
      <c r="BC15" s="75">
        <v>5360</v>
      </c>
      <c r="BD15" s="76">
        <v>5460</v>
      </c>
      <c r="BE15" s="76">
        <v>5440</v>
      </c>
      <c r="BF15" s="76">
        <v>5370</v>
      </c>
      <c r="BG15" s="76">
        <v>5330</v>
      </c>
      <c r="BH15" s="76">
        <v>5310</v>
      </c>
      <c r="BI15" s="76">
        <v>5340</v>
      </c>
      <c r="BJ15" s="74">
        <v>5370</v>
      </c>
      <c r="BK15" s="74">
        <v>5390</v>
      </c>
      <c r="BL15" s="74">
        <v>5320</v>
      </c>
      <c r="BM15" s="76">
        <v>5270</v>
      </c>
      <c r="BN15" s="76">
        <v>5230</v>
      </c>
      <c r="BO15" s="76">
        <v>5200</v>
      </c>
      <c r="BP15" s="76">
        <v>5140</v>
      </c>
      <c r="BQ15" s="76">
        <v>5140</v>
      </c>
      <c r="BR15" s="76">
        <v>5400</v>
      </c>
      <c r="BS15" s="74">
        <v>5410</v>
      </c>
      <c r="BT15" s="74">
        <v>5470</v>
      </c>
      <c r="BU15" s="74">
        <v>5480</v>
      </c>
      <c r="BV15" s="76">
        <v>5500</v>
      </c>
      <c r="BW15" s="76">
        <v>5450</v>
      </c>
      <c r="BX15" s="76">
        <v>5480</v>
      </c>
      <c r="BY15" s="76">
        <v>5480</v>
      </c>
      <c r="BZ15" s="76">
        <v>5470</v>
      </c>
      <c r="CA15" s="76">
        <v>5460</v>
      </c>
      <c r="CB15" s="76">
        <v>5430</v>
      </c>
      <c r="CC15" s="76">
        <v>5410</v>
      </c>
      <c r="CD15" s="76">
        <v>5380</v>
      </c>
      <c r="CE15" s="76">
        <v>5380</v>
      </c>
      <c r="CF15" s="76">
        <v>5370</v>
      </c>
      <c r="CG15" s="76">
        <v>5490</v>
      </c>
      <c r="CH15" s="76">
        <v>6040</v>
      </c>
      <c r="CI15" s="76">
        <v>5960</v>
      </c>
      <c r="CJ15" s="76">
        <v>5930</v>
      </c>
      <c r="CK15" s="76">
        <v>5970</v>
      </c>
      <c r="CL15" s="76">
        <v>6000</v>
      </c>
      <c r="CM15" s="76">
        <v>5860</v>
      </c>
      <c r="CN15" s="76">
        <v>5850</v>
      </c>
      <c r="CO15" s="76">
        <v>5790</v>
      </c>
      <c r="CP15" s="76">
        <v>5790</v>
      </c>
      <c r="CQ15" s="76">
        <v>5770</v>
      </c>
      <c r="CR15" s="76">
        <v>5730</v>
      </c>
      <c r="CS15" s="76">
        <v>5740</v>
      </c>
      <c r="CT15" s="76">
        <v>5720</v>
      </c>
      <c r="CU15" s="76">
        <v>5670</v>
      </c>
      <c r="CV15" s="76">
        <v>5680</v>
      </c>
      <c r="CW15" s="76">
        <v>5590</v>
      </c>
      <c r="CX15" s="76">
        <v>5600</v>
      </c>
      <c r="CY15" s="76">
        <v>5530</v>
      </c>
      <c r="CZ15" s="76">
        <v>5530</v>
      </c>
      <c r="DA15" s="76">
        <v>5560</v>
      </c>
      <c r="DB15" s="76">
        <v>5490</v>
      </c>
      <c r="DC15" s="76">
        <v>5410</v>
      </c>
      <c r="DD15" s="76">
        <v>5350</v>
      </c>
      <c r="DE15" s="76">
        <v>5390</v>
      </c>
      <c r="DF15" s="76">
        <v>5440</v>
      </c>
      <c r="DG15" s="76">
        <v>5490</v>
      </c>
      <c r="DH15" s="76">
        <v>5540</v>
      </c>
      <c r="DI15" s="76">
        <v>5540</v>
      </c>
      <c r="DJ15" s="76">
        <v>5590</v>
      </c>
      <c r="DK15" s="76">
        <v>5530</v>
      </c>
      <c r="DL15" s="75">
        <v>5420</v>
      </c>
      <c r="DM15" s="75">
        <v>5330</v>
      </c>
      <c r="DN15" s="75">
        <v>5330</v>
      </c>
      <c r="DO15" s="75">
        <v>5300</v>
      </c>
      <c r="DP15" s="75">
        <v>5320</v>
      </c>
      <c r="DQ15" s="75">
        <v>5360</v>
      </c>
      <c r="DR15" s="75">
        <v>5300</v>
      </c>
      <c r="DS15" s="75">
        <v>5350</v>
      </c>
      <c r="DT15" s="75">
        <v>5330</v>
      </c>
      <c r="DU15" s="75">
        <v>5360</v>
      </c>
      <c r="DV15" s="137">
        <v>5320</v>
      </c>
      <c r="DW15" s="137">
        <v>5280</v>
      </c>
      <c r="DX15" s="137">
        <v>5370</v>
      </c>
      <c r="DY15" s="137">
        <v>5290</v>
      </c>
      <c r="DZ15" s="137">
        <v>5290</v>
      </c>
      <c r="EA15" s="149">
        <v>5280</v>
      </c>
    </row>
    <row r="16" spans="1:131" s="8" customFormat="1" ht="16" customHeight="1" x14ac:dyDescent="0.25">
      <c r="A16" s="66" t="s">
        <v>10</v>
      </c>
      <c r="B16" s="67">
        <v>8020</v>
      </c>
      <c r="C16" s="67">
        <v>8090</v>
      </c>
      <c r="D16" s="67">
        <v>8100</v>
      </c>
      <c r="E16" s="67">
        <v>8070</v>
      </c>
      <c r="F16" s="67">
        <v>8080</v>
      </c>
      <c r="G16" s="67">
        <v>8050</v>
      </c>
      <c r="H16" s="67">
        <v>8100</v>
      </c>
      <c r="I16" s="67">
        <v>8090</v>
      </c>
      <c r="J16" s="67">
        <v>8120</v>
      </c>
      <c r="K16" s="67">
        <v>8120</v>
      </c>
      <c r="L16" s="67">
        <v>8080</v>
      </c>
      <c r="M16" s="67">
        <v>8060</v>
      </c>
      <c r="N16" s="67">
        <v>8040</v>
      </c>
      <c r="O16" s="67">
        <v>8040</v>
      </c>
      <c r="P16" s="67">
        <v>7990</v>
      </c>
      <c r="Q16" s="67">
        <v>8000</v>
      </c>
      <c r="R16" s="67">
        <v>7970</v>
      </c>
      <c r="S16" s="67">
        <v>7960</v>
      </c>
      <c r="T16" s="67">
        <v>7980</v>
      </c>
      <c r="U16" s="67">
        <v>7950</v>
      </c>
      <c r="V16" s="67">
        <v>7960</v>
      </c>
      <c r="W16" s="67">
        <v>7880</v>
      </c>
      <c r="X16" s="67">
        <v>7870</v>
      </c>
      <c r="Y16" s="67">
        <v>7840</v>
      </c>
      <c r="Z16" s="67">
        <v>7750</v>
      </c>
      <c r="AA16" s="67">
        <v>7720</v>
      </c>
      <c r="AB16" s="67">
        <v>7680</v>
      </c>
      <c r="AC16" s="67">
        <v>7710</v>
      </c>
      <c r="AD16" s="67">
        <v>7690</v>
      </c>
      <c r="AE16" s="67">
        <v>7610</v>
      </c>
      <c r="AF16" s="67">
        <v>7610</v>
      </c>
      <c r="AG16" s="67">
        <v>7590</v>
      </c>
      <c r="AH16" s="67">
        <v>7580</v>
      </c>
      <c r="AI16" s="67">
        <v>7540</v>
      </c>
      <c r="AJ16" s="67">
        <v>7510</v>
      </c>
      <c r="AK16" s="67">
        <v>7520</v>
      </c>
      <c r="AL16" s="67">
        <v>7440</v>
      </c>
      <c r="AM16" s="67">
        <v>7360</v>
      </c>
      <c r="AN16" s="67">
        <v>7220</v>
      </c>
      <c r="AO16" s="67">
        <v>7170</v>
      </c>
      <c r="AP16" s="67">
        <v>7150</v>
      </c>
      <c r="AQ16" s="67">
        <v>7020</v>
      </c>
      <c r="AR16" s="67">
        <v>7000</v>
      </c>
      <c r="AS16" s="67">
        <v>7020</v>
      </c>
      <c r="AT16" s="67">
        <v>7010</v>
      </c>
      <c r="AU16" s="68">
        <v>7010</v>
      </c>
      <c r="AV16" s="68">
        <v>6970</v>
      </c>
      <c r="AW16" s="68">
        <v>6980</v>
      </c>
      <c r="AX16" s="68">
        <v>7070</v>
      </c>
      <c r="AY16" s="68">
        <v>7150</v>
      </c>
      <c r="AZ16" s="68">
        <v>7150</v>
      </c>
      <c r="BA16" s="68">
        <v>7130</v>
      </c>
      <c r="BB16" s="68">
        <v>7150</v>
      </c>
      <c r="BC16" s="68">
        <v>7070</v>
      </c>
      <c r="BD16" s="69">
        <v>7030</v>
      </c>
      <c r="BE16" s="69">
        <v>7020</v>
      </c>
      <c r="BF16" s="69">
        <v>7010</v>
      </c>
      <c r="BG16" s="69">
        <v>6970</v>
      </c>
      <c r="BH16" s="69">
        <v>6970</v>
      </c>
      <c r="BI16" s="69">
        <v>6950</v>
      </c>
      <c r="BJ16" s="67">
        <v>6890</v>
      </c>
      <c r="BK16" s="67">
        <v>7170</v>
      </c>
      <c r="BL16" s="67">
        <v>6920</v>
      </c>
      <c r="BM16" s="69">
        <v>6940</v>
      </c>
      <c r="BN16" s="69">
        <v>6950</v>
      </c>
      <c r="BO16" s="69">
        <v>6910</v>
      </c>
      <c r="BP16" s="69">
        <v>6800</v>
      </c>
      <c r="BQ16" s="69">
        <v>6850</v>
      </c>
      <c r="BR16" s="70">
        <v>6860</v>
      </c>
      <c r="BS16" s="71">
        <v>6870</v>
      </c>
      <c r="BT16" s="72">
        <v>6850</v>
      </c>
      <c r="BU16" s="73">
        <v>6870</v>
      </c>
      <c r="BV16" s="73">
        <v>6830</v>
      </c>
      <c r="BW16" s="73">
        <v>6790</v>
      </c>
      <c r="BX16" s="73">
        <v>6790</v>
      </c>
      <c r="BY16" s="73">
        <v>6770</v>
      </c>
      <c r="BZ16" s="73">
        <v>6790</v>
      </c>
      <c r="CA16" s="73">
        <v>6780</v>
      </c>
      <c r="CB16" s="73">
        <v>6790</v>
      </c>
      <c r="CC16" s="73">
        <v>6730</v>
      </c>
      <c r="CD16" s="73">
        <v>6750</v>
      </c>
      <c r="CE16" s="73">
        <v>6690</v>
      </c>
      <c r="CF16" s="73">
        <v>6710</v>
      </c>
      <c r="CG16" s="73">
        <v>6710</v>
      </c>
      <c r="CH16" s="73">
        <v>6940</v>
      </c>
      <c r="CI16" s="73">
        <v>7070</v>
      </c>
      <c r="CJ16" s="73">
        <v>7060</v>
      </c>
      <c r="CK16" s="73">
        <v>7100</v>
      </c>
      <c r="CL16" s="73">
        <v>7110</v>
      </c>
      <c r="CM16" s="73">
        <v>7050</v>
      </c>
      <c r="CN16" s="73">
        <v>7080</v>
      </c>
      <c r="CO16" s="73">
        <v>7130</v>
      </c>
      <c r="CP16" s="73">
        <v>7100</v>
      </c>
      <c r="CQ16" s="73">
        <v>7100</v>
      </c>
      <c r="CR16" s="73">
        <v>7140</v>
      </c>
      <c r="CS16" s="73">
        <v>7030</v>
      </c>
      <c r="CT16" s="73">
        <v>7030</v>
      </c>
      <c r="CU16" s="73">
        <v>7040</v>
      </c>
      <c r="CV16" s="73">
        <v>6980</v>
      </c>
      <c r="CW16" s="73">
        <v>6980</v>
      </c>
      <c r="CX16" s="73">
        <v>6990</v>
      </c>
      <c r="CY16" s="73">
        <v>6980</v>
      </c>
      <c r="CZ16" s="73">
        <v>6990</v>
      </c>
      <c r="DA16" s="73">
        <v>6970</v>
      </c>
      <c r="DB16" s="73">
        <v>6920</v>
      </c>
      <c r="DC16" s="73">
        <v>6870</v>
      </c>
      <c r="DD16" s="73">
        <v>6830</v>
      </c>
      <c r="DE16" s="73">
        <v>6620</v>
      </c>
      <c r="DF16" s="73">
        <v>6660</v>
      </c>
      <c r="DG16" s="73">
        <v>6770</v>
      </c>
      <c r="DH16" s="73">
        <v>6720</v>
      </c>
      <c r="DI16" s="73">
        <v>6700</v>
      </c>
      <c r="DJ16" s="73">
        <v>6720</v>
      </c>
      <c r="DK16" s="73">
        <v>6720</v>
      </c>
      <c r="DL16" s="68">
        <v>6680</v>
      </c>
      <c r="DM16" s="68">
        <v>6700</v>
      </c>
      <c r="DN16" s="68">
        <v>6710</v>
      </c>
      <c r="DO16" s="68">
        <v>6700</v>
      </c>
      <c r="DP16" s="68">
        <v>6610</v>
      </c>
      <c r="DQ16" s="68">
        <v>6610</v>
      </c>
      <c r="DR16" s="68">
        <v>6660</v>
      </c>
      <c r="DS16" s="68">
        <v>6710</v>
      </c>
      <c r="DT16" s="68">
        <v>6710</v>
      </c>
      <c r="DU16" s="68">
        <v>6710</v>
      </c>
      <c r="DV16" s="68">
        <v>6720</v>
      </c>
      <c r="DW16" s="68">
        <v>6690</v>
      </c>
      <c r="DX16" s="68">
        <v>6640</v>
      </c>
      <c r="DY16" s="68">
        <v>6640</v>
      </c>
      <c r="DZ16" s="68">
        <v>6660</v>
      </c>
      <c r="EA16" s="148">
        <v>6610</v>
      </c>
    </row>
    <row r="17" spans="1:131" s="8" customFormat="1" ht="16" customHeight="1" x14ac:dyDescent="0.25">
      <c r="A17" s="51" t="s">
        <v>11</v>
      </c>
      <c r="B17" s="74">
        <v>5210</v>
      </c>
      <c r="C17" s="74">
        <v>5210</v>
      </c>
      <c r="D17" s="74">
        <v>5230</v>
      </c>
      <c r="E17" s="74">
        <v>5220</v>
      </c>
      <c r="F17" s="74">
        <v>5250</v>
      </c>
      <c r="G17" s="74">
        <v>5210</v>
      </c>
      <c r="H17" s="74">
        <v>5240</v>
      </c>
      <c r="I17" s="74">
        <v>5280</v>
      </c>
      <c r="J17" s="74">
        <v>5270</v>
      </c>
      <c r="K17" s="74">
        <v>5260</v>
      </c>
      <c r="L17" s="74">
        <v>5280</v>
      </c>
      <c r="M17" s="74">
        <v>5260</v>
      </c>
      <c r="N17" s="74">
        <v>5250</v>
      </c>
      <c r="O17" s="74">
        <v>5210</v>
      </c>
      <c r="P17" s="74">
        <v>5170</v>
      </c>
      <c r="Q17" s="74">
        <v>5210</v>
      </c>
      <c r="R17" s="74">
        <v>5220</v>
      </c>
      <c r="S17" s="74">
        <v>5160</v>
      </c>
      <c r="T17" s="74">
        <v>5120</v>
      </c>
      <c r="U17" s="74">
        <v>5080</v>
      </c>
      <c r="V17" s="74">
        <v>5090</v>
      </c>
      <c r="W17" s="74">
        <v>5030</v>
      </c>
      <c r="X17" s="74">
        <v>5020</v>
      </c>
      <c r="Y17" s="74">
        <v>5010</v>
      </c>
      <c r="Z17" s="74">
        <v>4970</v>
      </c>
      <c r="AA17" s="74">
        <v>4960</v>
      </c>
      <c r="AB17" s="74">
        <v>4950</v>
      </c>
      <c r="AC17" s="74">
        <v>4950</v>
      </c>
      <c r="AD17" s="74">
        <v>4920</v>
      </c>
      <c r="AE17" s="74">
        <v>4880</v>
      </c>
      <c r="AF17" s="74">
        <v>4840</v>
      </c>
      <c r="AG17" s="74">
        <v>4800</v>
      </c>
      <c r="AH17" s="74">
        <v>4780</v>
      </c>
      <c r="AI17" s="74">
        <v>4740</v>
      </c>
      <c r="AJ17" s="74">
        <v>4750</v>
      </c>
      <c r="AK17" s="74">
        <v>4760</v>
      </c>
      <c r="AL17" s="74">
        <v>4720</v>
      </c>
      <c r="AM17" s="74">
        <v>4700</v>
      </c>
      <c r="AN17" s="74">
        <v>4710</v>
      </c>
      <c r="AO17" s="74">
        <v>4720</v>
      </c>
      <c r="AP17" s="74">
        <v>4700</v>
      </c>
      <c r="AQ17" s="74">
        <v>4670</v>
      </c>
      <c r="AR17" s="74">
        <v>4650</v>
      </c>
      <c r="AS17" s="74">
        <v>4630</v>
      </c>
      <c r="AT17" s="74">
        <v>4630</v>
      </c>
      <c r="AU17" s="75">
        <v>4600</v>
      </c>
      <c r="AV17" s="75">
        <v>4590</v>
      </c>
      <c r="AW17" s="75">
        <v>4610</v>
      </c>
      <c r="AX17" s="75">
        <v>4610</v>
      </c>
      <c r="AY17" s="75">
        <v>4630</v>
      </c>
      <c r="AZ17" s="75">
        <v>4620</v>
      </c>
      <c r="BA17" s="75">
        <v>4610</v>
      </c>
      <c r="BB17" s="75">
        <v>4610</v>
      </c>
      <c r="BC17" s="75">
        <v>4580</v>
      </c>
      <c r="BD17" s="76">
        <v>4580</v>
      </c>
      <c r="BE17" s="76">
        <v>4610</v>
      </c>
      <c r="BF17" s="76">
        <v>4590</v>
      </c>
      <c r="BG17" s="76">
        <v>4540</v>
      </c>
      <c r="BH17" s="76">
        <v>4530</v>
      </c>
      <c r="BI17" s="76">
        <v>4520</v>
      </c>
      <c r="BJ17" s="74">
        <v>4480</v>
      </c>
      <c r="BK17" s="74">
        <v>4470</v>
      </c>
      <c r="BL17" s="74">
        <v>4490</v>
      </c>
      <c r="BM17" s="76">
        <v>4470</v>
      </c>
      <c r="BN17" s="76">
        <v>4480</v>
      </c>
      <c r="BO17" s="76">
        <v>4410</v>
      </c>
      <c r="BP17" s="76">
        <v>4350</v>
      </c>
      <c r="BQ17" s="76">
        <v>4400</v>
      </c>
      <c r="BR17" s="76">
        <v>4310</v>
      </c>
      <c r="BS17" s="74">
        <v>4340</v>
      </c>
      <c r="BT17" s="74">
        <v>4350</v>
      </c>
      <c r="BU17" s="74">
        <v>4350</v>
      </c>
      <c r="BV17" s="76">
        <v>4300</v>
      </c>
      <c r="BW17" s="76">
        <v>4280</v>
      </c>
      <c r="BX17" s="76">
        <v>4260</v>
      </c>
      <c r="BY17" s="76">
        <v>4280</v>
      </c>
      <c r="BZ17" s="76">
        <v>4270</v>
      </c>
      <c r="CA17" s="76">
        <v>4240</v>
      </c>
      <c r="CB17" s="76">
        <v>4260</v>
      </c>
      <c r="CC17" s="76">
        <v>4220</v>
      </c>
      <c r="CD17" s="76">
        <v>4240</v>
      </c>
      <c r="CE17" s="76">
        <v>4210</v>
      </c>
      <c r="CF17" s="76">
        <v>4200</v>
      </c>
      <c r="CG17" s="76">
        <v>4240</v>
      </c>
      <c r="CH17" s="76">
        <v>4480</v>
      </c>
      <c r="CI17" s="76">
        <v>4580</v>
      </c>
      <c r="CJ17" s="76">
        <v>4590</v>
      </c>
      <c r="CK17" s="76">
        <v>4620</v>
      </c>
      <c r="CL17" s="76">
        <v>4660</v>
      </c>
      <c r="CM17" s="76">
        <v>4620</v>
      </c>
      <c r="CN17" s="76">
        <v>4610</v>
      </c>
      <c r="CO17" s="76">
        <v>4530</v>
      </c>
      <c r="CP17" s="76">
        <v>4620</v>
      </c>
      <c r="CQ17" s="76">
        <v>4600</v>
      </c>
      <c r="CR17" s="76">
        <v>4590</v>
      </c>
      <c r="CS17" s="76">
        <v>4670</v>
      </c>
      <c r="CT17" s="76">
        <v>4700</v>
      </c>
      <c r="CU17" s="76">
        <v>4670</v>
      </c>
      <c r="CV17" s="76">
        <v>4850</v>
      </c>
      <c r="CW17" s="76">
        <v>4810</v>
      </c>
      <c r="CX17" s="76">
        <v>4840</v>
      </c>
      <c r="CY17" s="76">
        <v>5050</v>
      </c>
      <c r="CZ17" s="76">
        <v>4970</v>
      </c>
      <c r="DA17" s="76">
        <v>5040</v>
      </c>
      <c r="DB17" s="76">
        <v>4980</v>
      </c>
      <c r="DC17" s="76">
        <v>4820</v>
      </c>
      <c r="DD17" s="76">
        <v>4720</v>
      </c>
      <c r="DE17" s="76">
        <v>4720</v>
      </c>
      <c r="DF17" s="76">
        <v>4610</v>
      </c>
      <c r="DG17" s="76">
        <v>4580</v>
      </c>
      <c r="DH17" s="76">
        <v>4560</v>
      </c>
      <c r="DI17" s="76">
        <v>4570</v>
      </c>
      <c r="DJ17" s="76">
        <v>4550</v>
      </c>
      <c r="DK17" s="76">
        <v>4520</v>
      </c>
      <c r="DL17" s="75">
        <v>4500</v>
      </c>
      <c r="DM17" s="75">
        <v>4450</v>
      </c>
      <c r="DN17" s="75">
        <v>4470</v>
      </c>
      <c r="DO17" s="75">
        <v>4500</v>
      </c>
      <c r="DP17" s="75">
        <v>4510</v>
      </c>
      <c r="DQ17" s="75">
        <v>4390</v>
      </c>
      <c r="DR17" s="75">
        <v>4380</v>
      </c>
      <c r="DS17" s="75">
        <v>4510</v>
      </c>
      <c r="DT17" s="75">
        <v>4470</v>
      </c>
      <c r="DU17" s="75">
        <v>4500</v>
      </c>
      <c r="DV17" s="137">
        <v>4480</v>
      </c>
      <c r="DW17" s="137">
        <v>4460</v>
      </c>
      <c r="DX17" s="137">
        <v>4460</v>
      </c>
      <c r="DY17" s="137">
        <v>4480</v>
      </c>
      <c r="DZ17" s="137">
        <v>4470</v>
      </c>
      <c r="EA17" s="149">
        <v>4410</v>
      </c>
    </row>
    <row r="18" spans="1:131" s="8" customFormat="1" ht="16" customHeight="1" x14ac:dyDescent="0.25">
      <c r="A18" s="66" t="s">
        <v>12</v>
      </c>
      <c r="B18" s="67">
        <v>15560</v>
      </c>
      <c r="C18" s="67">
        <v>15520</v>
      </c>
      <c r="D18" s="67">
        <v>15630</v>
      </c>
      <c r="E18" s="67">
        <v>15270</v>
      </c>
      <c r="F18" s="67">
        <v>15300</v>
      </c>
      <c r="G18" s="67">
        <v>15260</v>
      </c>
      <c r="H18" s="67">
        <v>15360</v>
      </c>
      <c r="I18" s="67">
        <v>15190</v>
      </c>
      <c r="J18" s="67">
        <v>15160</v>
      </c>
      <c r="K18" s="67">
        <v>15250</v>
      </c>
      <c r="L18" s="67">
        <v>15170</v>
      </c>
      <c r="M18" s="67">
        <v>15100</v>
      </c>
      <c r="N18" s="67">
        <v>15070</v>
      </c>
      <c r="O18" s="67">
        <v>15070</v>
      </c>
      <c r="P18" s="67">
        <v>15030</v>
      </c>
      <c r="Q18" s="67">
        <v>14910</v>
      </c>
      <c r="R18" s="67">
        <v>14930</v>
      </c>
      <c r="S18" s="67">
        <v>14900</v>
      </c>
      <c r="T18" s="67">
        <v>14760</v>
      </c>
      <c r="U18" s="67">
        <v>14660</v>
      </c>
      <c r="V18" s="67">
        <v>14690</v>
      </c>
      <c r="W18" s="67">
        <v>14680</v>
      </c>
      <c r="X18" s="67">
        <v>14610</v>
      </c>
      <c r="Y18" s="67">
        <v>14600</v>
      </c>
      <c r="Z18" s="67">
        <v>14570</v>
      </c>
      <c r="AA18" s="67">
        <v>14530</v>
      </c>
      <c r="AB18" s="67">
        <v>14430</v>
      </c>
      <c r="AC18" s="67">
        <v>14420</v>
      </c>
      <c r="AD18" s="67">
        <v>14470</v>
      </c>
      <c r="AE18" s="67">
        <v>14340</v>
      </c>
      <c r="AF18" s="67">
        <v>14290</v>
      </c>
      <c r="AG18" s="67">
        <v>14230</v>
      </c>
      <c r="AH18" s="67">
        <v>14210</v>
      </c>
      <c r="AI18" s="67">
        <v>14300</v>
      </c>
      <c r="AJ18" s="67">
        <v>14030</v>
      </c>
      <c r="AK18" s="67">
        <v>14060</v>
      </c>
      <c r="AL18" s="67">
        <v>13960</v>
      </c>
      <c r="AM18" s="67">
        <v>13880</v>
      </c>
      <c r="AN18" s="67">
        <v>13840</v>
      </c>
      <c r="AO18" s="67">
        <v>13800</v>
      </c>
      <c r="AP18" s="67">
        <v>13800</v>
      </c>
      <c r="AQ18" s="67">
        <v>13770</v>
      </c>
      <c r="AR18" s="67">
        <v>13730</v>
      </c>
      <c r="AS18" s="67">
        <v>13580</v>
      </c>
      <c r="AT18" s="67">
        <v>13550</v>
      </c>
      <c r="AU18" s="68">
        <v>13500</v>
      </c>
      <c r="AV18" s="68">
        <v>13470</v>
      </c>
      <c r="AW18" s="68">
        <v>13520</v>
      </c>
      <c r="AX18" s="68">
        <v>13530</v>
      </c>
      <c r="AY18" s="68">
        <v>13650</v>
      </c>
      <c r="AZ18" s="68">
        <v>13490</v>
      </c>
      <c r="BA18" s="68">
        <v>13570</v>
      </c>
      <c r="BB18" s="68">
        <v>13620</v>
      </c>
      <c r="BC18" s="68">
        <v>13590</v>
      </c>
      <c r="BD18" s="69">
        <v>13560</v>
      </c>
      <c r="BE18" s="69">
        <v>13460</v>
      </c>
      <c r="BF18" s="69">
        <v>13380</v>
      </c>
      <c r="BG18" s="69">
        <v>13380</v>
      </c>
      <c r="BH18" s="69">
        <v>13410</v>
      </c>
      <c r="BI18" s="69">
        <v>13450</v>
      </c>
      <c r="BJ18" s="67">
        <v>13330</v>
      </c>
      <c r="BK18" s="67">
        <v>13330</v>
      </c>
      <c r="BL18" s="67">
        <v>13240</v>
      </c>
      <c r="BM18" s="69">
        <v>13200</v>
      </c>
      <c r="BN18" s="69">
        <v>13240</v>
      </c>
      <c r="BO18" s="69">
        <v>13220</v>
      </c>
      <c r="BP18" s="69">
        <v>12900</v>
      </c>
      <c r="BQ18" s="69">
        <v>13010</v>
      </c>
      <c r="BR18" s="70">
        <v>12800</v>
      </c>
      <c r="BS18" s="71">
        <v>12880</v>
      </c>
      <c r="BT18" s="72">
        <v>12900</v>
      </c>
      <c r="BU18" s="73">
        <v>12860</v>
      </c>
      <c r="BV18" s="73">
        <v>12840</v>
      </c>
      <c r="BW18" s="73">
        <v>12850</v>
      </c>
      <c r="BX18" s="73">
        <v>12830</v>
      </c>
      <c r="BY18" s="73">
        <v>12810</v>
      </c>
      <c r="BZ18" s="73">
        <v>12840</v>
      </c>
      <c r="CA18" s="73">
        <v>12770</v>
      </c>
      <c r="CB18" s="73">
        <v>12650</v>
      </c>
      <c r="CC18" s="73">
        <v>12600</v>
      </c>
      <c r="CD18" s="73">
        <v>12570</v>
      </c>
      <c r="CE18" s="73">
        <v>12520</v>
      </c>
      <c r="CF18" s="73">
        <v>12530</v>
      </c>
      <c r="CG18" s="73">
        <v>12550</v>
      </c>
      <c r="CH18" s="73">
        <v>12890</v>
      </c>
      <c r="CI18" s="73">
        <v>13020</v>
      </c>
      <c r="CJ18" s="73">
        <v>12970</v>
      </c>
      <c r="CK18" s="73">
        <v>13020</v>
      </c>
      <c r="CL18" s="73">
        <v>13030</v>
      </c>
      <c r="CM18" s="73">
        <v>13030</v>
      </c>
      <c r="CN18" s="73">
        <v>12990</v>
      </c>
      <c r="CO18" s="73">
        <v>13010</v>
      </c>
      <c r="CP18" s="73">
        <v>13010</v>
      </c>
      <c r="CQ18" s="73">
        <v>13030</v>
      </c>
      <c r="CR18" s="73">
        <v>13130</v>
      </c>
      <c r="CS18" s="73">
        <v>13200</v>
      </c>
      <c r="CT18" s="73">
        <v>13230</v>
      </c>
      <c r="CU18" s="73">
        <v>13250</v>
      </c>
      <c r="CV18" s="73">
        <v>13110</v>
      </c>
      <c r="CW18" s="73">
        <v>13050</v>
      </c>
      <c r="CX18" s="73">
        <v>13030</v>
      </c>
      <c r="CY18" s="73">
        <v>12950</v>
      </c>
      <c r="CZ18" s="73">
        <v>12900</v>
      </c>
      <c r="DA18" s="73">
        <v>12820</v>
      </c>
      <c r="DB18" s="73">
        <v>12720</v>
      </c>
      <c r="DC18" s="73">
        <v>12560</v>
      </c>
      <c r="DD18" s="73">
        <v>12510</v>
      </c>
      <c r="DE18" s="73">
        <v>12560</v>
      </c>
      <c r="DF18" s="73">
        <v>12630</v>
      </c>
      <c r="DG18" s="73">
        <v>12690</v>
      </c>
      <c r="DH18" s="73">
        <v>12690</v>
      </c>
      <c r="DI18" s="73">
        <v>12700</v>
      </c>
      <c r="DJ18" s="73">
        <v>12750</v>
      </c>
      <c r="DK18" s="73">
        <v>12790</v>
      </c>
      <c r="DL18" s="68">
        <v>12650</v>
      </c>
      <c r="DM18" s="68">
        <v>12650</v>
      </c>
      <c r="DN18" s="68">
        <v>12680</v>
      </c>
      <c r="DO18" s="68">
        <v>12730</v>
      </c>
      <c r="DP18" s="68">
        <v>12960</v>
      </c>
      <c r="DQ18" s="68">
        <v>12870</v>
      </c>
      <c r="DR18" s="68">
        <v>12870</v>
      </c>
      <c r="DS18" s="68">
        <v>13140</v>
      </c>
      <c r="DT18" s="68">
        <v>13130</v>
      </c>
      <c r="DU18" s="68">
        <v>13170</v>
      </c>
      <c r="DV18" s="68">
        <v>13220</v>
      </c>
      <c r="DW18" s="68">
        <v>13240</v>
      </c>
      <c r="DX18" s="68">
        <v>13260</v>
      </c>
      <c r="DY18" s="68">
        <v>13290</v>
      </c>
      <c r="DZ18" s="68">
        <v>13320</v>
      </c>
      <c r="EA18" s="148">
        <v>13300</v>
      </c>
    </row>
    <row r="19" spans="1:131" s="8" customFormat="1" ht="16" customHeight="1" x14ac:dyDescent="0.25">
      <c r="A19" s="51" t="s">
        <v>13</v>
      </c>
      <c r="B19" s="74">
        <v>35200</v>
      </c>
      <c r="C19" s="74">
        <v>35160</v>
      </c>
      <c r="D19" s="74">
        <v>35080</v>
      </c>
      <c r="E19" s="74">
        <v>35220</v>
      </c>
      <c r="F19" s="74">
        <v>35370</v>
      </c>
      <c r="G19" s="74">
        <v>35520</v>
      </c>
      <c r="H19" s="74">
        <v>35120</v>
      </c>
      <c r="I19" s="74">
        <v>34790</v>
      </c>
      <c r="J19" s="74">
        <v>34740</v>
      </c>
      <c r="K19" s="74">
        <v>34520</v>
      </c>
      <c r="L19" s="74">
        <v>34820</v>
      </c>
      <c r="M19" s="74">
        <v>34710</v>
      </c>
      <c r="N19" s="74">
        <v>34580</v>
      </c>
      <c r="O19" s="74">
        <v>34280</v>
      </c>
      <c r="P19" s="74">
        <v>34320</v>
      </c>
      <c r="Q19" s="74">
        <v>34420</v>
      </c>
      <c r="R19" s="74">
        <v>34430</v>
      </c>
      <c r="S19" s="74">
        <v>34270</v>
      </c>
      <c r="T19" s="74">
        <v>33870</v>
      </c>
      <c r="U19" s="74">
        <v>33680</v>
      </c>
      <c r="V19" s="74">
        <v>33620</v>
      </c>
      <c r="W19" s="74">
        <v>33570</v>
      </c>
      <c r="X19" s="74">
        <v>33700</v>
      </c>
      <c r="Y19" s="74">
        <v>33630</v>
      </c>
      <c r="Z19" s="74">
        <v>33300</v>
      </c>
      <c r="AA19" s="74">
        <v>33180</v>
      </c>
      <c r="AB19" s="74">
        <v>33060</v>
      </c>
      <c r="AC19" s="74">
        <v>33210</v>
      </c>
      <c r="AD19" s="74">
        <v>33280</v>
      </c>
      <c r="AE19" s="74">
        <v>33130</v>
      </c>
      <c r="AF19" s="74">
        <v>32650</v>
      </c>
      <c r="AG19" s="74">
        <v>32420</v>
      </c>
      <c r="AH19" s="74">
        <v>32250</v>
      </c>
      <c r="AI19" s="74">
        <v>32190</v>
      </c>
      <c r="AJ19" s="74">
        <v>32360</v>
      </c>
      <c r="AK19" s="74">
        <v>32480</v>
      </c>
      <c r="AL19" s="74">
        <v>32370</v>
      </c>
      <c r="AM19" s="74">
        <v>32210</v>
      </c>
      <c r="AN19" s="74">
        <v>32150</v>
      </c>
      <c r="AO19" s="74">
        <v>32210</v>
      </c>
      <c r="AP19" s="74">
        <v>32190</v>
      </c>
      <c r="AQ19" s="74">
        <v>31850</v>
      </c>
      <c r="AR19" s="74">
        <v>31540</v>
      </c>
      <c r="AS19" s="74">
        <v>31410</v>
      </c>
      <c r="AT19" s="74">
        <v>31400</v>
      </c>
      <c r="AU19" s="75">
        <v>31280</v>
      </c>
      <c r="AV19" s="75">
        <v>31460</v>
      </c>
      <c r="AW19" s="75">
        <v>31460</v>
      </c>
      <c r="AX19" s="75">
        <v>31640</v>
      </c>
      <c r="AY19" s="75">
        <v>31560</v>
      </c>
      <c r="AZ19" s="75">
        <v>31480</v>
      </c>
      <c r="BA19" s="75">
        <v>31680</v>
      </c>
      <c r="BB19" s="75">
        <v>31740</v>
      </c>
      <c r="BC19" s="75">
        <v>31480</v>
      </c>
      <c r="BD19" s="76">
        <v>31260</v>
      </c>
      <c r="BE19" s="76">
        <v>31140</v>
      </c>
      <c r="BF19" s="76">
        <v>31160</v>
      </c>
      <c r="BG19" s="76">
        <v>31060</v>
      </c>
      <c r="BH19" s="76">
        <v>31370</v>
      </c>
      <c r="BI19" s="76">
        <v>31690</v>
      </c>
      <c r="BJ19" s="74">
        <v>31750</v>
      </c>
      <c r="BK19" s="74">
        <v>31850</v>
      </c>
      <c r="BL19" s="74">
        <v>31690</v>
      </c>
      <c r="BM19" s="76">
        <v>32110</v>
      </c>
      <c r="BN19" s="76">
        <v>32150</v>
      </c>
      <c r="BO19" s="76">
        <v>31960</v>
      </c>
      <c r="BP19" s="76">
        <v>31130</v>
      </c>
      <c r="BQ19" s="76">
        <v>31460</v>
      </c>
      <c r="BR19" s="76">
        <v>30850</v>
      </c>
      <c r="BS19" s="74">
        <v>31140</v>
      </c>
      <c r="BT19" s="74">
        <v>31180</v>
      </c>
      <c r="BU19" s="74">
        <v>31190</v>
      </c>
      <c r="BV19" s="76">
        <v>30950</v>
      </c>
      <c r="BW19" s="76">
        <v>30730</v>
      </c>
      <c r="BX19" s="76">
        <v>30560</v>
      </c>
      <c r="BY19" s="76">
        <v>30740</v>
      </c>
      <c r="BZ19" s="76">
        <v>30720</v>
      </c>
      <c r="CA19" s="76">
        <v>30330</v>
      </c>
      <c r="CB19" s="76">
        <v>30040</v>
      </c>
      <c r="CC19" s="76">
        <v>29790</v>
      </c>
      <c r="CD19" s="76">
        <v>29360</v>
      </c>
      <c r="CE19" s="76">
        <v>29450</v>
      </c>
      <c r="CF19" s="76">
        <v>29430</v>
      </c>
      <c r="CG19" s="76">
        <v>29570</v>
      </c>
      <c r="CH19" s="76">
        <v>30360</v>
      </c>
      <c r="CI19" s="76">
        <v>30460</v>
      </c>
      <c r="CJ19" s="76">
        <v>30410</v>
      </c>
      <c r="CK19" s="76">
        <v>30610</v>
      </c>
      <c r="CL19" s="76">
        <v>30850</v>
      </c>
      <c r="CM19" s="76">
        <v>31070</v>
      </c>
      <c r="CN19" s="76">
        <v>31200</v>
      </c>
      <c r="CO19" s="76">
        <v>31380</v>
      </c>
      <c r="CP19" s="76">
        <v>31480</v>
      </c>
      <c r="CQ19" s="76">
        <v>31440</v>
      </c>
      <c r="CR19" s="76">
        <v>31590</v>
      </c>
      <c r="CS19" s="76">
        <v>31850</v>
      </c>
      <c r="CT19" s="76">
        <v>31910</v>
      </c>
      <c r="CU19" s="76">
        <v>32000</v>
      </c>
      <c r="CV19" s="76">
        <v>31810</v>
      </c>
      <c r="CW19" s="76">
        <v>31740</v>
      </c>
      <c r="CX19" s="76">
        <v>31620</v>
      </c>
      <c r="CY19" s="76">
        <v>31280</v>
      </c>
      <c r="CZ19" s="76">
        <v>30950</v>
      </c>
      <c r="DA19" s="76">
        <v>30740</v>
      </c>
      <c r="DB19" s="76">
        <v>30520</v>
      </c>
      <c r="DC19" s="76">
        <v>29990</v>
      </c>
      <c r="DD19" s="76">
        <v>29840</v>
      </c>
      <c r="DE19" s="76">
        <v>29780</v>
      </c>
      <c r="DF19" s="76">
        <v>29860</v>
      </c>
      <c r="DG19" s="76">
        <v>29840</v>
      </c>
      <c r="DH19" s="76">
        <v>29660</v>
      </c>
      <c r="DI19" s="76">
        <v>29650</v>
      </c>
      <c r="DJ19" s="76">
        <v>29680</v>
      </c>
      <c r="DK19" s="76">
        <v>29560</v>
      </c>
      <c r="DL19" s="75">
        <v>29090</v>
      </c>
      <c r="DM19" s="75">
        <v>29020</v>
      </c>
      <c r="DN19" s="75">
        <v>28860</v>
      </c>
      <c r="DO19" s="75">
        <v>29070</v>
      </c>
      <c r="DP19" s="75">
        <v>29250</v>
      </c>
      <c r="DQ19" s="75">
        <v>29210</v>
      </c>
      <c r="DR19" s="75">
        <v>29330</v>
      </c>
      <c r="DS19" s="75">
        <v>29670</v>
      </c>
      <c r="DT19" s="75">
        <v>29530</v>
      </c>
      <c r="DU19" s="75">
        <v>29670</v>
      </c>
      <c r="DV19" s="137">
        <v>29720</v>
      </c>
      <c r="DW19" s="137">
        <v>29720</v>
      </c>
      <c r="DX19" s="137">
        <v>29630</v>
      </c>
      <c r="DY19" s="137">
        <v>29640</v>
      </c>
      <c r="DZ19" s="137">
        <v>29590</v>
      </c>
      <c r="EA19" s="149">
        <v>29490</v>
      </c>
    </row>
    <row r="20" spans="1:131" s="8" customFormat="1" ht="16" customHeight="1" x14ac:dyDescent="0.25">
      <c r="A20" s="66" t="s">
        <v>14</v>
      </c>
      <c r="B20" s="67">
        <v>100900</v>
      </c>
      <c r="C20" s="67">
        <v>100930</v>
      </c>
      <c r="D20" s="67">
        <v>101190</v>
      </c>
      <c r="E20" s="67">
        <v>101270</v>
      </c>
      <c r="F20" s="67">
        <v>100860</v>
      </c>
      <c r="G20" s="67">
        <v>100530</v>
      </c>
      <c r="H20" s="67">
        <v>100200</v>
      </c>
      <c r="I20" s="67">
        <v>99870</v>
      </c>
      <c r="J20" s="67">
        <v>99800</v>
      </c>
      <c r="K20" s="67">
        <v>99470</v>
      </c>
      <c r="L20" s="67">
        <v>99860</v>
      </c>
      <c r="M20" s="67">
        <v>99960</v>
      </c>
      <c r="N20" s="67">
        <v>99010</v>
      </c>
      <c r="O20" s="67">
        <v>98960</v>
      </c>
      <c r="P20" s="67">
        <v>99040</v>
      </c>
      <c r="Q20" s="67">
        <v>99390</v>
      </c>
      <c r="R20" s="67">
        <v>99520</v>
      </c>
      <c r="S20" s="67">
        <v>98970</v>
      </c>
      <c r="T20" s="67">
        <v>98500</v>
      </c>
      <c r="U20" s="67">
        <v>98020</v>
      </c>
      <c r="V20" s="67">
        <v>97630</v>
      </c>
      <c r="W20" s="67">
        <v>96860</v>
      </c>
      <c r="X20" s="67">
        <v>97240</v>
      </c>
      <c r="Y20" s="67">
        <v>97280</v>
      </c>
      <c r="Z20" s="67">
        <v>96070</v>
      </c>
      <c r="AA20" s="67">
        <v>95650</v>
      </c>
      <c r="AB20" s="67">
        <v>95380</v>
      </c>
      <c r="AC20" s="67">
        <v>95220</v>
      </c>
      <c r="AD20" s="67">
        <v>95610</v>
      </c>
      <c r="AE20" s="67">
        <v>95150</v>
      </c>
      <c r="AF20" s="67">
        <v>94690</v>
      </c>
      <c r="AG20" s="67">
        <v>94120</v>
      </c>
      <c r="AH20" s="67">
        <v>93520</v>
      </c>
      <c r="AI20" s="67">
        <v>93250</v>
      </c>
      <c r="AJ20" s="67">
        <v>93540</v>
      </c>
      <c r="AK20" s="67">
        <v>93610</v>
      </c>
      <c r="AL20" s="67">
        <v>92420</v>
      </c>
      <c r="AM20" s="67">
        <v>92440</v>
      </c>
      <c r="AN20" s="67">
        <v>92330</v>
      </c>
      <c r="AO20" s="67">
        <v>92510</v>
      </c>
      <c r="AP20" s="67">
        <v>92620</v>
      </c>
      <c r="AQ20" s="67">
        <v>91950</v>
      </c>
      <c r="AR20" s="67">
        <v>91770</v>
      </c>
      <c r="AS20" s="67">
        <v>91230</v>
      </c>
      <c r="AT20" s="67">
        <v>90890</v>
      </c>
      <c r="AU20" s="68">
        <v>90400</v>
      </c>
      <c r="AV20" s="68">
        <v>90570</v>
      </c>
      <c r="AW20" s="68">
        <v>90860</v>
      </c>
      <c r="AX20" s="68">
        <v>90030</v>
      </c>
      <c r="AY20" s="68">
        <v>90580</v>
      </c>
      <c r="AZ20" s="68">
        <v>90460</v>
      </c>
      <c r="BA20" s="68">
        <v>90490</v>
      </c>
      <c r="BB20" s="68">
        <v>90650</v>
      </c>
      <c r="BC20" s="68">
        <v>90250</v>
      </c>
      <c r="BD20" s="69">
        <v>89650</v>
      </c>
      <c r="BE20" s="69">
        <v>89580</v>
      </c>
      <c r="BF20" s="69">
        <v>89510</v>
      </c>
      <c r="BG20" s="69">
        <v>89160</v>
      </c>
      <c r="BH20" s="69">
        <v>89140</v>
      </c>
      <c r="BI20" s="69">
        <v>89240</v>
      </c>
      <c r="BJ20" s="67">
        <v>88290</v>
      </c>
      <c r="BK20" s="67">
        <v>88450</v>
      </c>
      <c r="BL20" s="67">
        <v>88850</v>
      </c>
      <c r="BM20" s="69">
        <v>89160</v>
      </c>
      <c r="BN20" s="69">
        <v>89480</v>
      </c>
      <c r="BO20" s="69">
        <v>88790</v>
      </c>
      <c r="BP20" s="69">
        <v>87320</v>
      </c>
      <c r="BQ20" s="69">
        <v>88410</v>
      </c>
      <c r="BR20" s="70">
        <v>87930</v>
      </c>
      <c r="BS20" s="71">
        <v>88090</v>
      </c>
      <c r="BT20" s="72">
        <v>88480</v>
      </c>
      <c r="BU20" s="73">
        <v>88660</v>
      </c>
      <c r="BV20" s="73">
        <v>87560</v>
      </c>
      <c r="BW20" s="73">
        <v>87600</v>
      </c>
      <c r="BX20" s="73">
        <v>87660</v>
      </c>
      <c r="BY20" s="73">
        <v>88060</v>
      </c>
      <c r="BZ20" s="73">
        <v>88370</v>
      </c>
      <c r="CA20" s="73">
        <v>87930</v>
      </c>
      <c r="CB20" s="73">
        <v>87710</v>
      </c>
      <c r="CC20" s="73">
        <v>87500</v>
      </c>
      <c r="CD20" s="73">
        <v>87400</v>
      </c>
      <c r="CE20" s="73">
        <v>87380</v>
      </c>
      <c r="CF20" s="73">
        <v>87540</v>
      </c>
      <c r="CG20" s="73">
        <v>87580</v>
      </c>
      <c r="CH20" s="73">
        <v>90400</v>
      </c>
      <c r="CI20" s="73">
        <v>93380</v>
      </c>
      <c r="CJ20" s="73">
        <v>93410</v>
      </c>
      <c r="CK20" s="73">
        <v>93880</v>
      </c>
      <c r="CL20" s="73">
        <v>93980</v>
      </c>
      <c r="CM20" s="73">
        <v>93220</v>
      </c>
      <c r="CN20" s="73">
        <v>92400</v>
      </c>
      <c r="CO20" s="73">
        <v>91890</v>
      </c>
      <c r="CP20" s="73">
        <v>91400</v>
      </c>
      <c r="CQ20" s="73">
        <v>91240</v>
      </c>
      <c r="CR20" s="73">
        <v>90620</v>
      </c>
      <c r="CS20" s="73">
        <v>91220</v>
      </c>
      <c r="CT20" s="73">
        <v>90350</v>
      </c>
      <c r="CU20" s="73">
        <v>91450</v>
      </c>
      <c r="CV20" s="73">
        <v>91170</v>
      </c>
      <c r="CW20" s="73">
        <v>90520</v>
      </c>
      <c r="CX20" s="73">
        <v>90820</v>
      </c>
      <c r="CY20" s="73">
        <v>89420</v>
      </c>
      <c r="CZ20" s="73">
        <v>88930</v>
      </c>
      <c r="DA20" s="73">
        <v>89380</v>
      </c>
      <c r="DB20" s="73">
        <v>88600</v>
      </c>
      <c r="DC20" s="73">
        <v>86740</v>
      </c>
      <c r="DD20" s="73">
        <v>86010</v>
      </c>
      <c r="DE20" s="73">
        <v>85980</v>
      </c>
      <c r="DF20" s="73">
        <v>86050</v>
      </c>
      <c r="DG20" s="73">
        <v>86080</v>
      </c>
      <c r="DH20" s="73">
        <v>86120</v>
      </c>
      <c r="DI20" s="73">
        <v>86500</v>
      </c>
      <c r="DJ20" s="73">
        <v>87170</v>
      </c>
      <c r="DK20" s="73">
        <v>86930</v>
      </c>
      <c r="DL20" s="68">
        <v>86050</v>
      </c>
      <c r="DM20" s="68">
        <v>85180</v>
      </c>
      <c r="DN20" s="68">
        <v>84450</v>
      </c>
      <c r="DO20" s="68">
        <v>84980</v>
      </c>
      <c r="DP20" s="68">
        <v>84750</v>
      </c>
      <c r="DQ20" s="68">
        <v>84060</v>
      </c>
      <c r="DR20" s="68">
        <v>84270</v>
      </c>
      <c r="DS20" s="68">
        <v>85050</v>
      </c>
      <c r="DT20" s="68">
        <v>84800</v>
      </c>
      <c r="DU20" s="68">
        <v>84960</v>
      </c>
      <c r="DV20" s="68">
        <v>85010</v>
      </c>
      <c r="DW20" s="68">
        <v>84790</v>
      </c>
      <c r="DX20" s="68">
        <v>84640</v>
      </c>
      <c r="DY20" s="68">
        <v>84270</v>
      </c>
      <c r="DZ20" s="68">
        <v>84290</v>
      </c>
      <c r="EA20" s="148">
        <v>83590</v>
      </c>
    </row>
    <row r="21" spans="1:131" s="8" customFormat="1" ht="16" customHeight="1" x14ac:dyDescent="0.25">
      <c r="A21" s="51" t="s">
        <v>15</v>
      </c>
      <c r="B21" s="74">
        <v>19090</v>
      </c>
      <c r="C21" s="74">
        <v>19070</v>
      </c>
      <c r="D21" s="74">
        <v>19080</v>
      </c>
      <c r="E21" s="74">
        <v>19030</v>
      </c>
      <c r="F21" s="74">
        <v>19000</v>
      </c>
      <c r="G21" s="74">
        <v>18790</v>
      </c>
      <c r="H21" s="74">
        <v>18770</v>
      </c>
      <c r="I21" s="74">
        <v>18740</v>
      </c>
      <c r="J21" s="74">
        <v>18860</v>
      </c>
      <c r="K21" s="74">
        <v>18840</v>
      </c>
      <c r="L21" s="74">
        <v>18930</v>
      </c>
      <c r="M21" s="74">
        <v>19020</v>
      </c>
      <c r="N21" s="74">
        <v>18920</v>
      </c>
      <c r="O21" s="74">
        <v>18680</v>
      </c>
      <c r="P21" s="74">
        <v>18620</v>
      </c>
      <c r="Q21" s="74">
        <v>18550</v>
      </c>
      <c r="R21" s="74">
        <v>18510</v>
      </c>
      <c r="S21" s="74">
        <v>18230</v>
      </c>
      <c r="T21" s="74">
        <v>18180</v>
      </c>
      <c r="U21" s="74">
        <v>18140</v>
      </c>
      <c r="V21" s="74">
        <v>18200</v>
      </c>
      <c r="W21" s="74">
        <v>18240</v>
      </c>
      <c r="X21" s="74">
        <v>18360</v>
      </c>
      <c r="Y21" s="74">
        <v>18370</v>
      </c>
      <c r="Z21" s="74">
        <v>18150</v>
      </c>
      <c r="AA21" s="74">
        <v>18080</v>
      </c>
      <c r="AB21" s="74">
        <v>17850</v>
      </c>
      <c r="AC21" s="74">
        <v>17780</v>
      </c>
      <c r="AD21" s="74">
        <v>17740</v>
      </c>
      <c r="AE21" s="74">
        <v>17640</v>
      </c>
      <c r="AF21" s="74">
        <v>17550</v>
      </c>
      <c r="AG21" s="74">
        <v>17510</v>
      </c>
      <c r="AH21" s="74">
        <v>17580</v>
      </c>
      <c r="AI21" s="74">
        <v>17510</v>
      </c>
      <c r="AJ21" s="74">
        <v>17540</v>
      </c>
      <c r="AK21" s="74">
        <v>17610</v>
      </c>
      <c r="AL21" s="74">
        <v>17420</v>
      </c>
      <c r="AM21" s="74">
        <v>17400</v>
      </c>
      <c r="AN21" s="74">
        <v>17310</v>
      </c>
      <c r="AO21" s="74">
        <v>17200</v>
      </c>
      <c r="AP21" s="74">
        <v>17240</v>
      </c>
      <c r="AQ21" s="74">
        <v>17120</v>
      </c>
      <c r="AR21" s="74">
        <v>17120</v>
      </c>
      <c r="AS21" s="74">
        <v>17110</v>
      </c>
      <c r="AT21" s="74">
        <v>17300</v>
      </c>
      <c r="AU21" s="75">
        <v>17260</v>
      </c>
      <c r="AV21" s="75">
        <v>17480</v>
      </c>
      <c r="AW21" s="75">
        <v>17630</v>
      </c>
      <c r="AX21" s="75">
        <v>17980</v>
      </c>
      <c r="AY21" s="75">
        <v>17800</v>
      </c>
      <c r="AZ21" s="75">
        <v>17560</v>
      </c>
      <c r="BA21" s="75">
        <v>17500</v>
      </c>
      <c r="BB21" s="75">
        <v>17710</v>
      </c>
      <c r="BC21" s="75">
        <v>17590</v>
      </c>
      <c r="BD21" s="76">
        <v>17430</v>
      </c>
      <c r="BE21" s="76">
        <v>17500</v>
      </c>
      <c r="BF21" s="76">
        <v>17500</v>
      </c>
      <c r="BG21" s="76">
        <v>17480</v>
      </c>
      <c r="BH21" s="76">
        <v>17470</v>
      </c>
      <c r="BI21" s="76">
        <v>17490</v>
      </c>
      <c r="BJ21" s="74">
        <v>17430</v>
      </c>
      <c r="BK21" s="74">
        <v>17460</v>
      </c>
      <c r="BL21" s="74">
        <v>17420</v>
      </c>
      <c r="BM21" s="76">
        <v>17420</v>
      </c>
      <c r="BN21" s="76">
        <v>18580</v>
      </c>
      <c r="BO21" s="76">
        <v>17240</v>
      </c>
      <c r="BP21" s="76">
        <v>16850</v>
      </c>
      <c r="BQ21" s="76">
        <v>17070</v>
      </c>
      <c r="BR21" s="76">
        <v>16990</v>
      </c>
      <c r="BS21" s="74">
        <v>16980</v>
      </c>
      <c r="BT21" s="74">
        <v>17040</v>
      </c>
      <c r="BU21" s="74">
        <v>17110</v>
      </c>
      <c r="BV21" s="76">
        <v>17030</v>
      </c>
      <c r="BW21" s="76">
        <v>16980</v>
      </c>
      <c r="BX21" s="76">
        <v>16860</v>
      </c>
      <c r="BY21" s="76">
        <v>16710</v>
      </c>
      <c r="BZ21" s="76">
        <v>16690</v>
      </c>
      <c r="CA21" s="76">
        <v>16590</v>
      </c>
      <c r="CB21" s="76">
        <v>16490</v>
      </c>
      <c r="CC21" s="76">
        <v>16400</v>
      </c>
      <c r="CD21" s="76">
        <v>16520</v>
      </c>
      <c r="CE21" s="76">
        <v>16560</v>
      </c>
      <c r="CF21" s="76">
        <v>16620</v>
      </c>
      <c r="CG21" s="76">
        <v>16690</v>
      </c>
      <c r="CH21" s="76">
        <v>18650</v>
      </c>
      <c r="CI21" s="76">
        <v>18500</v>
      </c>
      <c r="CJ21" s="76">
        <v>18230</v>
      </c>
      <c r="CK21" s="76">
        <v>18090</v>
      </c>
      <c r="CL21" s="76">
        <v>18080</v>
      </c>
      <c r="CM21" s="76">
        <v>18000</v>
      </c>
      <c r="CN21" s="76">
        <v>17790</v>
      </c>
      <c r="CO21" s="76">
        <v>17700</v>
      </c>
      <c r="CP21" s="76">
        <v>17680</v>
      </c>
      <c r="CQ21" s="76">
        <v>17630</v>
      </c>
      <c r="CR21" s="76">
        <v>17800</v>
      </c>
      <c r="CS21" s="76">
        <v>17790</v>
      </c>
      <c r="CT21" s="76">
        <v>17820</v>
      </c>
      <c r="CU21" s="76">
        <v>17760</v>
      </c>
      <c r="CV21" s="76">
        <v>17630</v>
      </c>
      <c r="CW21" s="76">
        <v>17300</v>
      </c>
      <c r="CX21" s="76">
        <v>17180</v>
      </c>
      <c r="CY21" s="76">
        <v>17000</v>
      </c>
      <c r="CZ21" s="76">
        <v>16850</v>
      </c>
      <c r="DA21" s="76">
        <v>16780</v>
      </c>
      <c r="DB21" s="76">
        <v>16580</v>
      </c>
      <c r="DC21" s="76">
        <v>16490</v>
      </c>
      <c r="DD21" s="76">
        <v>16400</v>
      </c>
      <c r="DE21" s="76">
        <v>16260</v>
      </c>
      <c r="DF21" s="76">
        <v>16170</v>
      </c>
      <c r="DG21" s="76">
        <v>16120</v>
      </c>
      <c r="DH21" s="76">
        <v>16110</v>
      </c>
      <c r="DI21" s="76">
        <v>16090</v>
      </c>
      <c r="DJ21" s="76">
        <v>16170</v>
      </c>
      <c r="DK21" s="76">
        <v>16100</v>
      </c>
      <c r="DL21" s="75">
        <v>16020</v>
      </c>
      <c r="DM21" s="75">
        <v>16080</v>
      </c>
      <c r="DN21" s="75">
        <v>16210</v>
      </c>
      <c r="DO21" s="75">
        <v>16420</v>
      </c>
      <c r="DP21" s="75">
        <v>16230</v>
      </c>
      <c r="DQ21" s="75">
        <v>16150</v>
      </c>
      <c r="DR21" s="75">
        <v>16130</v>
      </c>
      <c r="DS21" s="75">
        <v>16210</v>
      </c>
      <c r="DT21" s="75">
        <v>16080</v>
      </c>
      <c r="DU21" s="75">
        <v>16040</v>
      </c>
      <c r="DV21" s="137">
        <v>16000</v>
      </c>
      <c r="DW21" s="137">
        <v>16010</v>
      </c>
      <c r="DX21" s="137">
        <v>16040</v>
      </c>
      <c r="DY21" s="137">
        <v>16050</v>
      </c>
      <c r="DZ21" s="137">
        <v>16140</v>
      </c>
      <c r="EA21" s="149">
        <v>16020</v>
      </c>
    </row>
    <row r="22" spans="1:131" s="8" customFormat="1" ht="16" customHeight="1" x14ac:dyDescent="0.25">
      <c r="A22" s="66" t="s">
        <v>16</v>
      </c>
      <c r="B22" s="67">
        <v>11160</v>
      </c>
      <c r="C22" s="67">
        <v>11150</v>
      </c>
      <c r="D22" s="67">
        <v>11180</v>
      </c>
      <c r="E22" s="67">
        <v>11150</v>
      </c>
      <c r="F22" s="67">
        <v>11140</v>
      </c>
      <c r="G22" s="67">
        <v>11040</v>
      </c>
      <c r="H22" s="67">
        <v>11090</v>
      </c>
      <c r="I22" s="67">
        <v>11000</v>
      </c>
      <c r="J22" s="67">
        <v>10860</v>
      </c>
      <c r="K22" s="67">
        <v>10910</v>
      </c>
      <c r="L22" s="67">
        <v>10940</v>
      </c>
      <c r="M22" s="67">
        <v>10940</v>
      </c>
      <c r="N22" s="67">
        <v>10890</v>
      </c>
      <c r="O22" s="67">
        <v>10820</v>
      </c>
      <c r="P22" s="67">
        <v>10790</v>
      </c>
      <c r="Q22" s="67">
        <v>10770</v>
      </c>
      <c r="R22" s="67">
        <v>10810</v>
      </c>
      <c r="S22" s="67">
        <v>10740</v>
      </c>
      <c r="T22" s="67">
        <v>10660</v>
      </c>
      <c r="U22" s="67">
        <v>10570</v>
      </c>
      <c r="V22" s="67">
        <v>10510</v>
      </c>
      <c r="W22" s="67">
        <v>10430</v>
      </c>
      <c r="X22" s="67">
        <v>10480</v>
      </c>
      <c r="Y22" s="67">
        <v>10470</v>
      </c>
      <c r="Z22" s="67">
        <v>10440</v>
      </c>
      <c r="AA22" s="67">
        <v>10360</v>
      </c>
      <c r="AB22" s="67">
        <v>10330</v>
      </c>
      <c r="AC22" s="67">
        <v>10340</v>
      </c>
      <c r="AD22" s="67">
        <v>10300</v>
      </c>
      <c r="AE22" s="67">
        <v>10240</v>
      </c>
      <c r="AF22" s="67">
        <v>10200</v>
      </c>
      <c r="AG22" s="67">
        <v>10140</v>
      </c>
      <c r="AH22" s="67">
        <v>10100</v>
      </c>
      <c r="AI22" s="67">
        <v>10030</v>
      </c>
      <c r="AJ22" s="67">
        <v>10080</v>
      </c>
      <c r="AK22" s="67">
        <v>10080</v>
      </c>
      <c r="AL22" s="67">
        <v>10010</v>
      </c>
      <c r="AM22" s="67">
        <v>10010</v>
      </c>
      <c r="AN22" s="67">
        <v>10010</v>
      </c>
      <c r="AO22" s="67">
        <v>9900</v>
      </c>
      <c r="AP22" s="67">
        <v>9900</v>
      </c>
      <c r="AQ22" s="67">
        <v>9820</v>
      </c>
      <c r="AR22" s="67">
        <v>9770</v>
      </c>
      <c r="AS22" s="67">
        <v>9680</v>
      </c>
      <c r="AT22" s="67">
        <v>9770</v>
      </c>
      <c r="AU22" s="68">
        <v>9710</v>
      </c>
      <c r="AV22" s="68">
        <v>9730</v>
      </c>
      <c r="AW22" s="68">
        <v>9770</v>
      </c>
      <c r="AX22" s="68">
        <v>9730</v>
      </c>
      <c r="AY22" s="68">
        <v>9790</v>
      </c>
      <c r="AZ22" s="68">
        <v>9790</v>
      </c>
      <c r="BA22" s="68">
        <v>9770</v>
      </c>
      <c r="BB22" s="68">
        <v>9820</v>
      </c>
      <c r="BC22" s="68">
        <v>9810</v>
      </c>
      <c r="BD22" s="69">
        <v>9830</v>
      </c>
      <c r="BE22" s="69">
        <v>9820</v>
      </c>
      <c r="BF22" s="69">
        <v>9790</v>
      </c>
      <c r="BG22" s="69">
        <v>9800</v>
      </c>
      <c r="BH22" s="69">
        <v>9860</v>
      </c>
      <c r="BI22" s="69">
        <v>9930</v>
      </c>
      <c r="BJ22" s="67">
        <v>9880</v>
      </c>
      <c r="BK22" s="67">
        <v>9820</v>
      </c>
      <c r="BL22" s="67">
        <v>9810</v>
      </c>
      <c r="BM22" s="69">
        <v>9860</v>
      </c>
      <c r="BN22" s="69">
        <v>9850</v>
      </c>
      <c r="BO22" s="69">
        <v>9780</v>
      </c>
      <c r="BP22" s="69">
        <v>9530</v>
      </c>
      <c r="BQ22" s="69">
        <v>9690</v>
      </c>
      <c r="BR22" s="70">
        <v>9680</v>
      </c>
      <c r="BS22" s="71">
        <v>9700</v>
      </c>
      <c r="BT22" s="72">
        <v>9710</v>
      </c>
      <c r="BU22" s="73">
        <v>9850</v>
      </c>
      <c r="BV22" s="73">
        <v>9720</v>
      </c>
      <c r="BW22" s="73">
        <v>9750</v>
      </c>
      <c r="BX22" s="73">
        <v>9680</v>
      </c>
      <c r="BY22" s="73">
        <v>9670</v>
      </c>
      <c r="BZ22" s="73">
        <v>9760</v>
      </c>
      <c r="CA22" s="73">
        <v>9750</v>
      </c>
      <c r="CB22" s="73">
        <v>9840</v>
      </c>
      <c r="CC22" s="73">
        <v>9820</v>
      </c>
      <c r="CD22" s="73">
        <v>9700</v>
      </c>
      <c r="CE22" s="73">
        <v>9700</v>
      </c>
      <c r="CF22" s="73">
        <v>9600</v>
      </c>
      <c r="CG22" s="73">
        <v>9620</v>
      </c>
      <c r="CH22" s="73">
        <v>10040</v>
      </c>
      <c r="CI22" s="73">
        <v>10100</v>
      </c>
      <c r="CJ22" s="73">
        <v>9940</v>
      </c>
      <c r="CK22" s="73">
        <v>9860</v>
      </c>
      <c r="CL22" s="73">
        <v>9880</v>
      </c>
      <c r="CM22" s="73">
        <v>9850</v>
      </c>
      <c r="CN22" s="73">
        <v>9880</v>
      </c>
      <c r="CO22" s="73">
        <v>9810</v>
      </c>
      <c r="CP22" s="73">
        <v>9780</v>
      </c>
      <c r="CQ22" s="73">
        <v>9950</v>
      </c>
      <c r="CR22" s="73">
        <v>9580</v>
      </c>
      <c r="CS22" s="73">
        <v>9580</v>
      </c>
      <c r="CT22" s="73">
        <v>9550</v>
      </c>
      <c r="CU22" s="73">
        <v>9500</v>
      </c>
      <c r="CV22" s="73">
        <v>9410</v>
      </c>
      <c r="CW22" s="73">
        <v>9410</v>
      </c>
      <c r="CX22" s="73">
        <v>9410</v>
      </c>
      <c r="CY22" s="73">
        <v>9320</v>
      </c>
      <c r="CZ22" s="73">
        <v>9360</v>
      </c>
      <c r="DA22" s="73">
        <v>9360</v>
      </c>
      <c r="DB22" s="73">
        <v>9330</v>
      </c>
      <c r="DC22" s="73">
        <v>9200</v>
      </c>
      <c r="DD22" s="73">
        <v>9090</v>
      </c>
      <c r="DE22" s="73">
        <v>9070</v>
      </c>
      <c r="DF22" s="73">
        <v>8860</v>
      </c>
      <c r="DG22" s="73">
        <v>9000</v>
      </c>
      <c r="DH22" s="73">
        <v>8990</v>
      </c>
      <c r="DI22" s="73">
        <v>9160</v>
      </c>
      <c r="DJ22" s="73">
        <v>9190</v>
      </c>
      <c r="DK22" s="73">
        <v>9510</v>
      </c>
      <c r="DL22" s="68">
        <v>9140</v>
      </c>
      <c r="DM22" s="68">
        <v>9120</v>
      </c>
      <c r="DN22" s="68">
        <v>9150</v>
      </c>
      <c r="DO22" s="68">
        <v>9470</v>
      </c>
      <c r="DP22" s="68">
        <v>9470</v>
      </c>
      <c r="DQ22" s="68">
        <v>9170</v>
      </c>
      <c r="DR22" s="68">
        <v>9320</v>
      </c>
      <c r="DS22" s="68">
        <v>9300</v>
      </c>
      <c r="DT22" s="68">
        <v>9240</v>
      </c>
      <c r="DU22" s="68">
        <v>9210</v>
      </c>
      <c r="DV22" s="68">
        <v>9250</v>
      </c>
      <c r="DW22" s="68">
        <v>9270</v>
      </c>
      <c r="DX22" s="68">
        <v>9260</v>
      </c>
      <c r="DY22" s="68">
        <v>9300</v>
      </c>
      <c r="DZ22" s="68">
        <v>9340</v>
      </c>
      <c r="EA22" s="148">
        <v>9250</v>
      </c>
    </row>
    <row r="23" spans="1:131" s="8" customFormat="1" ht="16" customHeight="1" x14ac:dyDescent="0.25">
      <c r="A23" s="51" t="s">
        <v>17</v>
      </c>
      <c r="B23" s="74">
        <v>7720</v>
      </c>
      <c r="C23" s="74">
        <v>7700</v>
      </c>
      <c r="D23" s="74">
        <v>7790</v>
      </c>
      <c r="E23" s="74">
        <v>7710</v>
      </c>
      <c r="F23" s="74">
        <v>7730</v>
      </c>
      <c r="G23" s="74">
        <v>7620</v>
      </c>
      <c r="H23" s="74">
        <v>7580</v>
      </c>
      <c r="I23" s="74">
        <v>7550</v>
      </c>
      <c r="J23" s="74">
        <v>7530</v>
      </c>
      <c r="K23" s="74">
        <v>7530</v>
      </c>
      <c r="L23" s="74">
        <v>7530</v>
      </c>
      <c r="M23" s="74">
        <v>7520</v>
      </c>
      <c r="N23" s="74">
        <v>7500</v>
      </c>
      <c r="O23" s="74">
        <v>7460</v>
      </c>
      <c r="P23" s="74">
        <v>7430</v>
      </c>
      <c r="Q23" s="74">
        <v>7420</v>
      </c>
      <c r="R23" s="74">
        <v>7400</v>
      </c>
      <c r="S23" s="74">
        <v>7380</v>
      </c>
      <c r="T23" s="74">
        <v>7330</v>
      </c>
      <c r="U23" s="74">
        <v>7280</v>
      </c>
      <c r="V23" s="74">
        <v>7240</v>
      </c>
      <c r="W23" s="74">
        <v>7210</v>
      </c>
      <c r="X23" s="74">
        <v>7190</v>
      </c>
      <c r="Y23" s="74">
        <v>7410</v>
      </c>
      <c r="Z23" s="74">
        <v>7190</v>
      </c>
      <c r="AA23" s="74">
        <v>7110</v>
      </c>
      <c r="AB23" s="74">
        <v>7090</v>
      </c>
      <c r="AC23" s="74">
        <v>7050</v>
      </c>
      <c r="AD23" s="74">
        <v>7050</v>
      </c>
      <c r="AE23" s="74">
        <v>7020</v>
      </c>
      <c r="AF23" s="74">
        <v>7010</v>
      </c>
      <c r="AG23" s="74">
        <v>6980</v>
      </c>
      <c r="AH23" s="74">
        <v>6960</v>
      </c>
      <c r="AI23" s="74">
        <v>6890</v>
      </c>
      <c r="AJ23" s="74">
        <v>6920</v>
      </c>
      <c r="AK23" s="74">
        <v>6960</v>
      </c>
      <c r="AL23" s="74">
        <v>6930</v>
      </c>
      <c r="AM23" s="74">
        <v>6900</v>
      </c>
      <c r="AN23" s="74">
        <v>6850</v>
      </c>
      <c r="AO23" s="74">
        <v>6810</v>
      </c>
      <c r="AP23" s="74">
        <v>6810</v>
      </c>
      <c r="AQ23" s="74">
        <v>6770</v>
      </c>
      <c r="AR23" s="74">
        <v>6740</v>
      </c>
      <c r="AS23" s="74">
        <v>6710</v>
      </c>
      <c r="AT23" s="74">
        <v>6680</v>
      </c>
      <c r="AU23" s="75">
        <v>6680</v>
      </c>
      <c r="AV23" s="75">
        <v>6660</v>
      </c>
      <c r="AW23" s="75">
        <v>6690</v>
      </c>
      <c r="AX23" s="75">
        <v>6700</v>
      </c>
      <c r="AY23" s="75">
        <v>6670</v>
      </c>
      <c r="AZ23" s="75">
        <v>6610</v>
      </c>
      <c r="BA23" s="75">
        <v>6610</v>
      </c>
      <c r="BB23" s="75">
        <v>6610</v>
      </c>
      <c r="BC23" s="75">
        <v>6550</v>
      </c>
      <c r="BD23" s="76">
        <v>6540</v>
      </c>
      <c r="BE23" s="76">
        <v>6540</v>
      </c>
      <c r="BF23" s="76">
        <v>6530</v>
      </c>
      <c r="BG23" s="76">
        <v>6530</v>
      </c>
      <c r="BH23" s="76">
        <v>6500</v>
      </c>
      <c r="BI23" s="76">
        <v>6560</v>
      </c>
      <c r="BJ23" s="74">
        <v>6530</v>
      </c>
      <c r="BK23" s="74">
        <v>6540</v>
      </c>
      <c r="BL23" s="74">
        <v>6510</v>
      </c>
      <c r="BM23" s="76">
        <v>6490</v>
      </c>
      <c r="BN23" s="76">
        <v>6520</v>
      </c>
      <c r="BO23" s="76">
        <v>6510</v>
      </c>
      <c r="BP23" s="76">
        <v>6370</v>
      </c>
      <c r="BQ23" s="76">
        <v>6450</v>
      </c>
      <c r="BR23" s="76">
        <v>6320</v>
      </c>
      <c r="BS23" s="74">
        <v>6370</v>
      </c>
      <c r="BT23" s="74">
        <v>6360</v>
      </c>
      <c r="BU23" s="74">
        <v>6330</v>
      </c>
      <c r="BV23" s="76">
        <v>6270</v>
      </c>
      <c r="BW23" s="76">
        <v>6250</v>
      </c>
      <c r="BX23" s="76">
        <v>6220</v>
      </c>
      <c r="BY23" s="76">
        <v>6230</v>
      </c>
      <c r="BZ23" s="76">
        <v>6230</v>
      </c>
      <c r="CA23" s="76">
        <v>6210</v>
      </c>
      <c r="CB23" s="76">
        <v>6210</v>
      </c>
      <c r="CC23" s="76">
        <v>6100</v>
      </c>
      <c r="CD23" s="76">
        <v>6070</v>
      </c>
      <c r="CE23" s="76">
        <v>6020</v>
      </c>
      <c r="CF23" s="76">
        <v>6010</v>
      </c>
      <c r="CG23" s="76">
        <v>5990</v>
      </c>
      <c r="CH23" s="76">
        <v>6100</v>
      </c>
      <c r="CI23" s="76">
        <v>6170</v>
      </c>
      <c r="CJ23" s="76">
        <v>6160</v>
      </c>
      <c r="CK23" s="76">
        <v>6140</v>
      </c>
      <c r="CL23" s="76">
        <v>6170</v>
      </c>
      <c r="CM23" s="76">
        <v>6150</v>
      </c>
      <c r="CN23" s="76">
        <v>6130</v>
      </c>
      <c r="CO23" s="76">
        <v>6120</v>
      </c>
      <c r="CP23" s="76">
        <v>6120</v>
      </c>
      <c r="CQ23" s="76">
        <v>6100</v>
      </c>
      <c r="CR23" s="76">
        <v>6130</v>
      </c>
      <c r="CS23" s="76">
        <v>6150</v>
      </c>
      <c r="CT23" s="76">
        <v>6190</v>
      </c>
      <c r="CU23" s="76">
        <v>6170</v>
      </c>
      <c r="CV23" s="76">
        <v>6130</v>
      </c>
      <c r="CW23" s="76">
        <v>6110</v>
      </c>
      <c r="CX23" s="76">
        <v>6070</v>
      </c>
      <c r="CY23" s="76">
        <v>5980</v>
      </c>
      <c r="CZ23" s="76">
        <v>5960</v>
      </c>
      <c r="DA23" s="76">
        <v>5940</v>
      </c>
      <c r="DB23" s="76">
        <v>5930</v>
      </c>
      <c r="DC23" s="76">
        <v>5890</v>
      </c>
      <c r="DD23" s="76">
        <v>5850</v>
      </c>
      <c r="DE23" s="76">
        <v>5840</v>
      </c>
      <c r="DF23" s="76">
        <v>5820</v>
      </c>
      <c r="DG23" s="76">
        <v>5840</v>
      </c>
      <c r="DH23" s="76">
        <v>5850</v>
      </c>
      <c r="DI23" s="76">
        <v>5840</v>
      </c>
      <c r="DJ23" s="76">
        <v>5850</v>
      </c>
      <c r="DK23" s="76">
        <v>5820</v>
      </c>
      <c r="DL23" s="75">
        <v>5780</v>
      </c>
      <c r="DM23" s="75">
        <v>5810</v>
      </c>
      <c r="DN23" s="75">
        <v>5770</v>
      </c>
      <c r="DO23" s="75">
        <v>5830</v>
      </c>
      <c r="DP23" s="75">
        <v>5900</v>
      </c>
      <c r="DQ23" s="75">
        <v>5670</v>
      </c>
      <c r="DR23" s="75">
        <v>5710</v>
      </c>
      <c r="DS23" s="75">
        <v>5790</v>
      </c>
      <c r="DT23" s="75">
        <v>5790</v>
      </c>
      <c r="DU23" s="75">
        <v>5770</v>
      </c>
      <c r="DV23" s="137">
        <v>5770</v>
      </c>
      <c r="DW23" s="137">
        <v>5770</v>
      </c>
      <c r="DX23" s="137">
        <v>5790</v>
      </c>
      <c r="DY23" s="137">
        <v>5850</v>
      </c>
      <c r="DZ23" s="137">
        <v>5890</v>
      </c>
      <c r="EA23" s="149">
        <v>5910</v>
      </c>
    </row>
    <row r="24" spans="1:131" s="8" customFormat="1" ht="16" customHeight="1" x14ac:dyDescent="0.25">
      <c r="A24" s="66" t="s">
        <v>18</v>
      </c>
      <c r="B24" s="67">
        <v>6740</v>
      </c>
      <c r="C24" s="67">
        <v>6720</v>
      </c>
      <c r="D24" s="67">
        <v>6700</v>
      </c>
      <c r="E24" s="67">
        <v>6700</v>
      </c>
      <c r="F24" s="67">
        <v>6600</v>
      </c>
      <c r="G24" s="67">
        <v>6520</v>
      </c>
      <c r="H24" s="67">
        <v>6420</v>
      </c>
      <c r="I24" s="67">
        <v>6370</v>
      </c>
      <c r="J24" s="67">
        <v>6330</v>
      </c>
      <c r="K24" s="67">
        <v>6370</v>
      </c>
      <c r="L24" s="67">
        <v>6330</v>
      </c>
      <c r="M24" s="67">
        <v>6340</v>
      </c>
      <c r="N24" s="67">
        <v>6380</v>
      </c>
      <c r="O24" s="67">
        <v>6340</v>
      </c>
      <c r="P24" s="67">
        <v>6330</v>
      </c>
      <c r="Q24" s="67">
        <v>6340</v>
      </c>
      <c r="R24" s="67">
        <v>6310</v>
      </c>
      <c r="S24" s="67">
        <v>6220</v>
      </c>
      <c r="T24" s="67">
        <v>6150</v>
      </c>
      <c r="U24" s="67">
        <v>6120</v>
      </c>
      <c r="V24" s="67">
        <v>6090</v>
      </c>
      <c r="W24" s="67">
        <v>6070</v>
      </c>
      <c r="X24" s="67">
        <v>6100</v>
      </c>
      <c r="Y24" s="67">
        <v>6130</v>
      </c>
      <c r="Z24" s="67">
        <v>6070</v>
      </c>
      <c r="AA24" s="67">
        <v>6040</v>
      </c>
      <c r="AB24" s="67">
        <v>6010</v>
      </c>
      <c r="AC24" s="67">
        <v>6060</v>
      </c>
      <c r="AD24" s="67">
        <v>6040</v>
      </c>
      <c r="AE24" s="67">
        <v>5980</v>
      </c>
      <c r="AF24" s="67">
        <v>5940</v>
      </c>
      <c r="AG24" s="67">
        <v>5900</v>
      </c>
      <c r="AH24" s="67">
        <v>5900</v>
      </c>
      <c r="AI24" s="67">
        <v>5930</v>
      </c>
      <c r="AJ24" s="67">
        <v>5940</v>
      </c>
      <c r="AK24" s="67">
        <v>6010</v>
      </c>
      <c r="AL24" s="67">
        <v>5970</v>
      </c>
      <c r="AM24" s="67">
        <v>5960</v>
      </c>
      <c r="AN24" s="67">
        <v>5950</v>
      </c>
      <c r="AO24" s="67">
        <v>5910</v>
      </c>
      <c r="AP24" s="67">
        <v>5920</v>
      </c>
      <c r="AQ24" s="67">
        <v>5920</v>
      </c>
      <c r="AR24" s="67">
        <v>5840</v>
      </c>
      <c r="AS24" s="67">
        <v>5810</v>
      </c>
      <c r="AT24" s="67">
        <v>5840</v>
      </c>
      <c r="AU24" s="68">
        <v>5820</v>
      </c>
      <c r="AV24" s="68">
        <v>5910</v>
      </c>
      <c r="AW24" s="68">
        <v>5900</v>
      </c>
      <c r="AX24" s="68">
        <v>5880</v>
      </c>
      <c r="AY24" s="68">
        <v>5910</v>
      </c>
      <c r="AZ24" s="68">
        <v>5870</v>
      </c>
      <c r="BA24" s="68">
        <v>5860</v>
      </c>
      <c r="BB24" s="68">
        <v>5860</v>
      </c>
      <c r="BC24" s="68">
        <v>5820</v>
      </c>
      <c r="BD24" s="69">
        <v>5780</v>
      </c>
      <c r="BE24" s="69">
        <v>5780</v>
      </c>
      <c r="BF24" s="69">
        <v>5780</v>
      </c>
      <c r="BG24" s="69">
        <v>5830</v>
      </c>
      <c r="BH24" s="69">
        <v>5840</v>
      </c>
      <c r="BI24" s="69">
        <v>5890</v>
      </c>
      <c r="BJ24" s="67">
        <v>5830</v>
      </c>
      <c r="BK24" s="67">
        <v>5830</v>
      </c>
      <c r="BL24" s="67">
        <v>5820</v>
      </c>
      <c r="BM24" s="69">
        <v>5770</v>
      </c>
      <c r="BN24" s="69">
        <v>5750</v>
      </c>
      <c r="BO24" s="69">
        <v>5730</v>
      </c>
      <c r="BP24" s="69">
        <v>5570</v>
      </c>
      <c r="BQ24" s="69">
        <v>5620</v>
      </c>
      <c r="BR24" s="70">
        <v>5580</v>
      </c>
      <c r="BS24" s="71">
        <v>5570</v>
      </c>
      <c r="BT24" s="72">
        <v>5580</v>
      </c>
      <c r="BU24" s="73">
        <v>5580</v>
      </c>
      <c r="BV24" s="73">
        <v>5530</v>
      </c>
      <c r="BW24" s="73">
        <v>5530</v>
      </c>
      <c r="BX24" s="73">
        <v>5550</v>
      </c>
      <c r="BY24" s="73">
        <v>5560</v>
      </c>
      <c r="BZ24" s="73">
        <v>5600</v>
      </c>
      <c r="CA24" s="73">
        <v>5550</v>
      </c>
      <c r="CB24" s="73">
        <v>5500</v>
      </c>
      <c r="CC24" s="73">
        <v>5430</v>
      </c>
      <c r="CD24" s="73">
        <v>5420</v>
      </c>
      <c r="CE24" s="73">
        <v>5390</v>
      </c>
      <c r="CF24" s="73">
        <v>5430</v>
      </c>
      <c r="CG24" s="73">
        <v>5460</v>
      </c>
      <c r="CH24" s="73">
        <v>5740</v>
      </c>
      <c r="CI24" s="73">
        <v>5850</v>
      </c>
      <c r="CJ24" s="73">
        <v>5850</v>
      </c>
      <c r="CK24" s="73">
        <v>5870</v>
      </c>
      <c r="CL24" s="73">
        <v>5870</v>
      </c>
      <c r="CM24" s="73">
        <v>5860</v>
      </c>
      <c r="CN24" s="73">
        <v>5800</v>
      </c>
      <c r="CO24" s="73">
        <v>5780</v>
      </c>
      <c r="CP24" s="73">
        <v>5750</v>
      </c>
      <c r="CQ24" s="73">
        <v>5750</v>
      </c>
      <c r="CR24" s="73">
        <v>5750</v>
      </c>
      <c r="CS24" s="73">
        <v>5780</v>
      </c>
      <c r="CT24" s="73">
        <v>5780</v>
      </c>
      <c r="CU24" s="73">
        <v>5740</v>
      </c>
      <c r="CV24" s="73">
        <v>5710</v>
      </c>
      <c r="CW24" s="73">
        <v>5670</v>
      </c>
      <c r="CX24" s="73">
        <v>5640</v>
      </c>
      <c r="CY24" s="73">
        <v>5600</v>
      </c>
      <c r="CZ24" s="73">
        <v>5560</v>
      </c>
      <c r="DA24" s="73">
        <v>5490</v>
      </c>
      <c r="DB24" s="73">
        <v>5450</v>
      </c>
      <c r="DC24" s="73">
        <v>5380</v>
      </c>
      <c r="DD24" s="73">
        <v>5350</v>
      </c>
      <c r="DE24" s="73">
        <v>5370</v>
      </c>
      <c r="DF24" s="73">
        <v>5360</v>
      </c>
      <c r="DG24" s="73">
        <v>5350</v>
      </c>
      <c r="DH24" s="73">
        <v>5350</v>
      </c>
      <c r="DI24" s="73">
        <v>5350</v>
      </c>
      <c r="DJ24" s="73">
        <v>5300</v>
      </c>
      <c r="DK24" s="73">
        <v>5280</v>
      </c>
      <c r="DL24" s="68">
        <v>5240</v>
      </c>
      <c r="DM24" s="68">
        <v>5230</v>
      </c>
      <c r="DN24" s="68">
        <v>5230</v>
      </c>
      <c r="DO24" s="68">
        <v>5310</v>
      </c>
      <c r="DP24" s="68">
        <v>5250</v>
      </c>
      <c r="DQ24" s="68">
        <v>5270</v>
      </c>
      <c r="DR24" s="68">
        <v>5290</v>
      </c>
      <c r="DS24" s="68">
        <v>5330</v>
      </c>
      <c r="DT24" s="68">
        <v>5330</v>
      </c>
      <c r="DU24" s="68">
        <v>5340</v>
      </c>
      <c r="DV24" s="68">
        <v>5370</v>
      </c>
      <c r="DW24" s="68">
        <v>5370</v>
      </c>
      <c r="DX24" s="68">
        <v>5320</v>
      </c>
      <c r="DY24" s="68">
        <v>5310</v>
      </c>
      <c r="DZ24" s="68">
        <v>5300</v>
      </c>
      <c r="EA24" s="148">
        <v>5290</v>
      </c>
    </row>
    <row r="25" spans="1:131" s="8" customFormat="1" ht="16" customHeight="1" x14ac:dyDescent="0.25">
      <c r="A25" s="51" t="s">
        <v>40</v>
      </c>
      <c r="B25" s="74">
        <v>2870</v>
      </c>
      <c r="C25" s="74">
        <v>2870</v>
      </c>
      <c r="D25" s="74">
        <v>2850</v>
      </c>
      <c r="E25" s="74">
        <v>2840</v>
      </c>
      <c r="F25" s="74">
        <v>2830</v>
      </c>
      <c r="G25" s="74">
        <v>2810</v>
      </c>
      <c r="H25" s="74">
        <v>2800</v>
      </c>
      <c r="I25" s="74">
        <v>2800</v>
      </c>
      <c r="J25" s="74">
        <v>2810</v>
      </c>
      <c r="K25" s="74">
        <v>2830</v>
      </c>
      <c r="L25" s="74">
        <v>2770</v>
      </c>
      <c r="M25" s="74">
        <v>2750</v>
      </c>
      <c r="N25" s="74">
        <v>2770</v>
      </c>
      <c r="O25" s="74">
        <v>2730</v>
      </c>
      <c r="P25" s="74">
        <v>2700</v>
      </c>
      <c r="Q25" s="74">
        <v>2670</v>
      </c>
      <c r="R25" s="74">
        <v>2670</v>
      </c>
      <c r="S25" s="74">
        <v>2660</v>
      </c>
      <c r="T25" s="74">
        <v>2620</v>
      </c>
      <c r="U25" s="74">
        <v>2630</v>
      </c>
      <c r="V25" s="74">
        <v>2610</v>
      </c>
      <c r="W25" s="74">
        <v>2600</v>
      </c>
      <c r="X25" s="74">
        <v>2600</v>
      </c>
      <c r="Y25" s="74">
        <v>2580</v>
      </c>
      <c r="Z25" s="74">
        <v>2560</v>
      </c>
      <c r="AA25" s="74">
        <v>2550</v>
      </c>
      <c r="AB25" s="74">
        <v>2520</v>
      </c>
      <c r="AC25" s="74">
        <v>2470</v>
      </c>
      <c r="AD25" s="74">
        <v>2500</v>
      </c>
      <c r="AE25" s="74">
        <v>2480</v>
      </c>
      <c r="AF25" s="74">
        <v>2460</v>
      </c>
      <c r="AG25" s="74">
        <v>2470</v>
      </c>
      <c r="AH25" s="74">
        <v>2450</v>
      </c>
      <c r="AI25" s="74">
        <v>2480</v>
      </c>
      <c r="AJ25" s="74">
        <v>2470</v>
      </c>
      <c r="AK25" s="74">
        <v>2470</v>
      </c>
      <c r="AL25" s="74">
        <v>2460</v>
      </c>
      <c r="AM25" s="74">
        <v>2450</v>
      </c>
      <c r="AN25" s="74">
        <v>2430</v>
      </c>
      <c r="AO25" s="74">
        <v>2400</v>
      </c>
      <c r="AP25" s="74">
        <v>2390</v>
      </c>
      <c r="AQ25" s="74">
        <v>2400</v>
      </c>
      <c r="AR25" s="74">
        <v>2380</v>
      </c>
      <c r="AS25" s="74">
        <v>2390</v>
      </c>
      <c r="AT25" s="74">
        <v>2390</v>
      </c>
      <c r="AU25" s="75">
        <v>2380</v>
      </c>
      <c r="AV25" s="75">
        <v>2360</v>
      </c>
      <c r="AW25" s="75">
        <v>2400</v>
      </c>
      <c r="AX25" s="75">
        <v>2410</v>
      </c>
      <c r="AY25" s="75">
        <v>2400</v>
      </c>
      <c r="AZ25" s="75">
        <v>2360</v>
      </c>
      <c r="BA25" s="75">
        <v>2330</v>
      </c>
      <c r="BB25" s="75">
        <v>2330</v>
      </c>
      <c r="BC25" s="75">
        <v>2300</v>
      </c>
      <c r="BD25" s="76">
        <v>2290</v>
      </c>
      <c r="BE25" s="76">
        <v>2300</v>
      </c>
      <c r="BF25" s="76">
        <v>2300</v>
      </c>
      <c r="BG25" s="76">
        <v>2280</v>
      </c>
      <c r="BH25" s="76">
        <v>2260</v>
      </c>
      <c r="BI25" s="76">
        <v>2250</v>
      </c>
      <c r="BJ25" s="74">
        <v>2230</v>
      </c>
      <c r="BK25" s="74">
        <v>2230</v>
      </c>
      <c r="BL25" s="74">
        <v>2220</v>
      </c>
      <c r="BM25" s="76">
        <v>2190</v>
      </c>
      <c r="BN25" s="76">
        <v>2190</v>
      </c>
      <c r="BO25" s="76">
        <v>2200</v>
      </c>
      <c r="BP25" s="76">
        <v>2160</v>
      </c>
      <c r="BQ25" s="76">
        <v>2170</v>
      </c>
      <c r="BR25" s="76">
        <v>2160</v>
      </c>
      <c r="BS25" s="74">
        <v>2170</v>
      </c>
      <c r="BT25" s="74">
        <v>2150</v>
      </c>
      <c r="BU25" s="74">
        <v>2160</v>
      </c>
      <c r="BV25" s="76">
        <v>2160</v>
      </c>
      <c r="BW25" s="76">
        <v>2140</v>
      </c>
      <c r="BX25" s="76">
        <v>2130</v>
      </c>
      <c r="BY25" s="76">
        <v>2130</v>
      </c>
      <c r="BZ25" s="76">
        <v>2130</v>
      </c>
      <c r="CA25" s="76">
        <v>2120</v>
      </c>
      <c r="CB25" s="76">
        <v>2110</v>
      </c>
      <c r="CC25" s="76">
        <v>2120</v>
      </c>
      <c r="CD25" s="76">
        <v>2120</v>
      </c>
      <c r="CE25" s="76">
        <v>2110</v>
      </c>
      <c r="CF25" s="76">
        <v>2090</v>
      </c>
      <c r="CG25" s="76">
        <v>2100</v>
      </c>
      <c r="CH25" s="76">
        <v>2160</v>
      </c>
      <c r="CI25" s="76">
        <v>2170</v>
      </c>
      <c r="CJ25" s="76">
        <v>2160</v>
      </c>
      <c r="CK25" s="76">
        <v>2150</v>
      </c>
      <c r="CL25" s="76">
        <v>2150</v>
      </c>
      <c r="CM25" s="76">
        <v>2140</v>
      </c>
      <c r="CN25" s="76">
        <v>2120</v>
      </c>
      <c r="CO25" s="76">
        <v>2120</v>
      </c>
      <c r="CP25" s="76">
        <v>2110</v>
      </c>
      <c r="CQ25" s="76">
        <v>2120</v>
      </c>
      <c r="CR25" s="76">
        <v>2120</v>
      </c>
      <c r="CS25" s="76">
        <v>2110</v>
      </c>
      <c r="CT25" s="76">
        <v>2100</v>
      </c>
      <c r="CU25" s="76">
        <v>2090</v>
      </c>
      <c r="CV25" s="76">
        <v>2070</v>
      </c>
      <c r="CW25" s="76">
        <v>2030</v>
      </c>
      <c r="CX25" s="76">
        <v>2020</v>
      </c>
      <c r="CY25" s="76">
        <v>2010</v>
      </c>
      <c r="CZ25" s="76">
        <v>1990</v>
      </c>
      <c r="DA25" s="76">
        <v>1970</v>
      </c>
      <c r="DB25" s="76">
        <v>1960</v>
      </c>
      <c r="DC25" s="76">
        <v>1950</v>
      </c>
      <c r="DD25" s="76">
        <v>1930</v>
      </c>
      <c r="DE25" s="76">
        <v>1950</v>
      </c>
      <c r="DF25" s="76">
        <v>1940</v>
      </c>
      <c r="DG25" s="76">
        <v>1940</v>
      </c>
      <c r="DH25" s="76">
        <v>1930</v>
      </c>
      <c r="DI25" s="76">
        <v>1920</v>
      </c>
      <c r="DJ25" s="76">
        <v>1920</v>
      </c>
      <c r="DK25" s="76">
        <v>1900</v>
      </c>
      <c r="DL25" s="75">
        <v>1890</v>
      </c>
      <c r="DM25" s="75">
        <v>1900</v>
      </c>
      <c r="DN25" s="75">
        <v>1900</v>
      </c>
      <c r="DO25" s="75">
        <v>1880</v>
      </c>
      <c r="DP25" s="75">
        <v>1880</v>
      </c>
      <c r="DQ25" s="75">
        <v>1880</v>
      </c>
      <c r="DR25" s="75">
        <v>1890</v>
      </c>
      <c r="DS25" s="75">
        <v>1910</v>
      </c>
      <c r="DT25" s="75">
        <v>1890</v>
      </c>
      <c r="DU25" s="75">
        <v>1880</v>
      </c>
      <c r="DV25" s="137">
        <v>1890</v>
      </c>
      <c r="DW25" s="137">
        <v>1880</v>
      </c>
      <c r="DX25" s="137">
        <v>1890</v>
      </c>
      <c r="DY25" s="137">
        <v>1860</v>
      </c>
      <c r="DZ25" s="137">
        <v>1850</v>
      </c>
      <c r="EA25" s="149">
        <v>1850</v>
      </c>
    </row>
    <row r="26" spans="1:131" s="8" customFormat="1" ht="16" customHeight="1" x14ac:dyDescent="0.25">
      <c r="A26" s="66" t="s">
        <v>19</v>
      </c>
      <c r="B26" s="67">
        <v>18790</v>
      </c>
      <c r="C26" s="67">
        <v>18710</v>
      </c>
      <c r="D26" s="67">
        <v>18700</v>
      </c>
      <c r="E26" s="67">
        <v>18770</v>
      </c>
      <c r="F26" s="67">
        <v>18750</v>
      </c>
      <c r="G26" s="67">
        <v>18510</v>
      </c>
      <c r="H26" s="67">
        <v>18530</v>
      </c>
      <c r="I26" s="67">
        <v>18500</v>
      </c>
      <c r="J26" s="67">
        <v>18550</v>
      </c>
      <c r="K26" s="67">
        <v>18650</v>
      </c>
      <c r="L26" s="67">
        <v>18630</v>
      </c>
      <c r="M26" s="67">
        <v>18580</v>
      </c>
      <c r="N26" s="67">
        <v>18620</v>
      </c>
      <c r="O26" s="67">
        <v>18540</v>
      </c>
      <c r="P26" s="67">
        <v>18550</v>
      </c>
      <c r="Q26" s="67">
        <v>18560</v>
      </c>
      <c r="R26" s="67">
        <v>18590</v>
      </c>
      <c r="S26" s="67">
        <v>18450</v>
      </c>
      <c r="T26" s="67">
        <v>18410</v>
      </c>
      <c r="U26" s="67">
        <v>18330</v>
      </c>
      <c r="V26" s="67">
        <v>18190</v>
      </c>
      <c r="W26" s="67">
        <v>18140</v>
      </c>
      <c r="X26" s="67">
        <v>18210</v>
      </c>
      <c r="Y26" s="67">
        <v>18220</v>
      </c>
      <c r="Z26" s="67">
        <v>18110</v>
      </c>
      <c r="AA26" s="67">
        <v>18110</v>
      </c>
      <c r="AB26" s="67">
        <v>18080</v>
      </c>
      <c r="AC26" s="67">
        <v>18150</v>
      </c>
      <c r="AD26" s="67">
        <v>18180</v>
      </c>
      <c r="AE26" s="67">
        <v>18150</v>
      </c>
      <c r="AF26" s="67">
        <v>18150</v>
      </c>
      <c r="AG26" s="67">
        <v>18000</v>
      </c>
      <c r="AH26" s="67">
        <v>17860</v>
      </c>
      <c r="AI26" s="67">
        <v>17810</v>
      </c>
      <c r="AJ26" s="67">
        <v>17830</v>
      </c>
      <c r="AK26" s="67">
        <v>17740</v>
      </c>
      <c r="AL26" s="67">
        <v>17670</v>
      </c>
      <c r="AM26" s="67">
        <v>17610</v>
      </c>
      <c r="AN26" s="67">
        <v>17570</v>
      </c>
      <c r="AO26" s="67">
        <v>17570</v>
      </c>
      <c r="AP26" s="67">
        <v>17650</v>
      </c>
      <c r="AQ26" s="67">
        <v>17510</v>
      </c>
      <c r="AR26" s="67">
        <v>17370</v>
      </c>
      <c r="AS26" s="67">
        <v>17260</v>
      </c>
      <c r="AT26" s="67">
        <v>17150</v>
      </c>
      <c r="AU26" s="68">
        <v>17120</v>
      </c>
      <c r="AV26" s="68">
        <v>17250</v>
      </c>
      <c r="AW26" s="68">
        <v>17360</v>
      </c>
      <c r="AX26" s="68">
        <v>17290</v>
      </c>
      <c r="AY26" s="68">
        <v>17290</v>
      </c>
      <c r="AZ26" s="68">
        <v>17320</v>
      </c>
      <c r="BA26" s="68">
        <v>17410</v>
      </c>
      <c r="BB26" s="68">
        <v>17490</v>
      </c>
      <c r="BC26" s="68">
        <v>17410</v>
      </c>
      <c r="BD26" s="69">
        <v>17330</v>
      </c>
      <c r="BE26" s="69">
        <v>17320</v>
      </c>
      <c r="BF26" s="69">
        <v>17230</v>
      </c>
      <c r="BG26" s="69">
        <v>17190</v>
      </c>
      <c r="BH26" s="69">
        <v>17200</v>
      </c>
      <c r="BI26" s="69">
        <v>16930</v>
      </c>
      <c r="BJ26" s="67">
        <v>17100</v>
      </c>
      <c r="BK26" s="67">
        <v>16900</v>
      </c>
      <c r="BL26" s="67">
        <v>17000</v>
      </c>
      <c r="BM26" s="69">
        <v>17090</v>
      </c>
      <c r="BN26" s="69">
        <v>17170</v>
      </c>
      <c r="BO26" s="69">
        <v>17080</v>
      </c>
      <c r="BP26" s="69">
        <v>16580</v>
      </c>
      <c r="BQ26" s="69">
        <v>16870</v>
      </c>
      <c r="BR26" s="70">
        <v>16600</v>
      </c>
      <c r="BS26" s="71">
        <v>16570</v>
      </c>
      <c r="BT26" s="72">
        <v>16540</v>
      </c>
      <c r="BU26" s="73">
        <v>16490</v>
      </c>
      <c r="BV26" s="73">
        <v>16220</v>
      </c>
      <c r="BW26" s="73">
        <v>16330</v>
      </c>
      <c r="BX26" s="73">
        <v>16470</v>
      </c>
      <c r="BY26" s="73">
        <v>16570</v>
      </c>
      <c r="BZ26" s="73">
        <v>16720</v>
      </c>
      <c r="CA26" s="73">
        <v>16660</v>
      </c>
      <c r="CB26" s="73">
        <v>16620</v>
      </c>
      <c r="CC26" s="73">
        <v>16550</v>
      </c>
      <c r="CD26" s="73">
        <v>16610</v>
      </c>
      <c r="CE26" s="73">
        <v>16670</v>
      </c>
      <c r="CF26" s="73">
        <v>16600</v>
      </c>
      <c r="CG26" s="73">
        <v>16820</v>
      </c>
      <c r="CH26" s="73">
        <v>17690</v>
      </c>
      <c r="CI26" s="73">
        <v>17650</v>
      </c>
      <c r="CJ26" s="73">
        <v>17450</v>
      </c>
      <c r="CK26" s="73">
        <v>17490</v>
      </c>
      <c r="CL26" s="73">
        <v>17420</v>
      </c>
      <c r="CM26" s="73">
        <v>17690</v>
      </c>
      <c r="CN26" s="73">
        <v>17260</v>
      </c>
      <c r="CO26" s="73">
        <v>17290</v>
      </c>
      <c r="CP26" s="73">
        <v>17330</v>
      </c>
      <c r="CQ26" s="73">
        <v>17340</v>
      </c>
      <c r="CR26" s="73">
        <v>18220</v>
      </c>
      <c r="CS26" s="73">
        <v>18430</v>
      </c>
      <c r="CT26" s="73">
        <v>17190</v>
      </c>
      <c r="CU26" s="73">
        <v>17810</v>
      </c>
      <c r="CV26" s="73">
        <v>17000</v>
      </c>
      <c r="CW26" s="73">
        <v>17370</v>
      </c>
      <c r="CX26" s="73">
        <v>16730</v>
      </c>
      <c r="CY26" s="73">
        <v>16700</v>
      </c>
      <c r="CZ26" s="73">
        <v>16610</v>
      </c>
      <c r="DA26" s="73">
        <v>16610</v>
      </c>
      <c r="DB26" s="73">
        <v>16600</v>
      </c>
      <c r="DC26" s="73">
        <v>16530</v>
      </c>
      <c r="DD26" s="73">
        <v>16400</v>
      </c>
      <c r="DE26" s="73">
        <v>16830</v>
      </c>
      <c r="DF26" s="73">
        <v>16420</v>
      </c>
      <c r="DG26" s="73">
        <v>16720</v>
      </c>
      <c r="DH26" s="73">
        <v>16700</v>
      </c>
      <c r="DI26" s="73">
        <v>16710</v>
      </c>
      <c r="DJ26" s="73">
        <v>16760</v>
      </c>
      <c r="DK26" s="73">
        <v>16720</v>
      </c>
      <c r="DL26" s="68">
        <v>16380</v>
      </c>
      <c r="DM26" s="68">
        <v>16410</v>
      </c>
      <c r="DN26" s="68">
        <v>16330</v>
      </c>
      <c r="DO26" s="68">
        <v>16790</v>
      </c>
      <c r="DP26" s="68">
        <v>16730</v>
      </c>
      <c r="DQ26" s="68">
        <v>16500</v>
      </c>
      <c r="DR26" s="68">
        <v>16570</v>
      </c>
      <c r="DS26" s="68">
        <v>17110</v>
      </c>
      <c r="DT26" s="68">
        <v>16990</v>
      </c>
      <c r="DU26" s="68">
        <v>17030</v>
      </c>
      <c r="DV26" s="68">
        <v>17120</v>
      </c>
      <c r="DW26" s="68">
        <v>17080</v>
      </c>
      <c r="DX26" s="68">
        <v>17130</v>
      </c>
      <c r="DY26" s="68">
        <v>17050</v>
      </c>
      <c r="DZ26" s="68">
        <v>17080</v>
      </c>
      <c r="EA26" s="148">
        <v>17100</v>
      </c>
    </row>
    <row r="27" spans="1:131" s="8" customFormat="1" ht="16" customHeight="1" x14ac:dyDescent="0.25">
      <c r="A27" s="51" t="s">
        <v>20</v>
      </c>
      <c r="B27" s="74">
        <v>42960</v>
      </c>
      <c r="C27" s="74">
        <v>43120</v>
      </c>
      <c r="D27" s="74">
        <v>43280</v>
      </c>
      <c r="E27" s="74">
        <v>42720</v>
      </c>
      <c r="F27" s="74">
        <v>42710</v>
      </c>
      <c r="G27" s="74">
        <v>42400</v>
      </c>
      <c r="H27" s="74">
        <v>42750</v>
      </c>
      <c r="I27" s="74">
        <v>42390</v>
      </c>
      <c r="J27" s="74">
        <v>41900</v>
      </c>
      <c r="K27" s="74">
        <v>41650</v>
      </c>
      <c r="L27" s="74">
        <v>41890</v>
      </c>
      <c r="M27" s="74">
        <v>41560</v>
      </c>
      <c r="N27" s="74">
        <v>41530</v>
      </c>
      <c r="O27" s="74">
        <v>41080</v>
      </c>
      <c r="P27" s="74">
        <v>41000</v>
      </c>
      <c r="Q27" s="74">
        <v>41160</v>
      </c>
      <c r="R27" s="74">
        <v>41120</v>
      </c>
      <c r="S27" s="74">
        <v>40910</v>
      </c>
      <c r="T27" s="74">
        <v>40870</v>
      </c>
      <c r="U27" s="74">
        <v>40520</v>
      </c>
      <c r="V27" s="74">
        <v>40410</v>
      </c>
      <c r="W27" s="74">
        <v>40280</v>
      </c>
      <c r="X27" s="74">
        <v>40360</v>
      </c>
      <c r="Y27" s="74">
        <v>40260</v>
      </c>
      <c r="Z27" s="74">
        <v>40090</v>
      </c>
      <c r="AA27" s="74">
        <v>39720</v>
      </c>
      <c r="AB27" s="74">
        <v>39130</v>
      </c>
      <c r="AC27" s="74">
        <v>39440</v>
      </c>
      <c r="AD27" s="74">
        <v>39460</v>
      </c>
      <c r="AE27" s="74">
        <v>39320</v>
      </c>
      <c r="AF27" s="74">
        <v>39120</v>
      </c>
      <c r="AG27" s="74">
        <v>38930</v>
      </c>
      <c r="AH27" s="74">
        <v>38820</v>
      </c>
      <c r="AI27" s="74">
        <v>38700</v>
      </c>
      <c r="AJ27" s="74">
        <v>38620</v>
      </c>
      <c r="AK27" s="74">
        <v>38560</v>
      </c>
      <c r="AL27" s="74">
        <v>38410</v>
      </c>
      <c r="AM27" s="74">
        <v>38120</v>
      </c>
      <c r="AN27" s="74">
        <v>37910</v>
      </c>
      <c r="AO27" s="74">
        <v>37760</v>
      </c>
      <c r="AP27" s="74">
        <v>37850</v>
      </c>
      <c r="AQ27" s="74">
        <v>37540</v>
      </c>
      <c r="AR27" s="74">
        <v>37380</v>
      </c>
      <c r="AS27" s="74">
        <v>37140</v>
      </c>
      <c r="AT27" s="74">
        <v>37030</v>
      </c>
      <c r="AU27" s="75">
        <v>36790</v>
      </c>
      <c r="AV27" s="75">
        <v>36870</v>
      </c>
      <c r="AW27" s="75">
        <v>36870</v>
      </c>
      <c r="AX27" s="75">
        <v>36830</v>
      </c>
      <c r="AY27" s="75">
        <v>36830</v>
      </c>
      <c r="AZ27" s="75">
        <v>36920</v>
      </c>
      <c r="BA27" s="75">
        <v>37070</v>
      </c>
      <c r="BB27" s="75">
        <v>37200</v>
      </c>
      <c r="BC27" s="75">
        <v>36990</v>
      </c>
      <c r="BD27" s="76">
        <v>36760</v>
      </c>
      <c r="BE27" s="76">
        <v>36660</v>
      </c>
      <c r="BF27" s="76">
        <v>36470</v>
      </c>
      <c r="BG27" s="76">
        <v>36430</v>
      </c>
      <c r="BH27" s="76">
        <v>36430</v>
      </c>
      <c r="BI27" s="76">
        <v>36600</v>
      </c>
      <c r="BJ27" s="74">
        <v>36290</v>
      </c>
      <c r="BK27" s="74">
        <v>36080</v>
      </c>
      <c r="BL27" s="74">
        <v>36320</v>
      </c>
      <c r="BM27" s="76">
        <v>36440</v>
      </c>
      <c r="BN27" s="76">
        <v>36790</v>
      </c>
      <c r="BO27" s="76">
        <v>36480</v>
      </c>
      <c r="BP27" s="76">
        <v>35660</v>
      </c>
      <c r="BQ27" s="76">
        <v>36480</v>
      </c>
      <c r="BR27" s="76">
        <v>36090</v>
      </c>
      <c r="BS27" s="74">
        <v>36320</v>
      </c>
      <c r="BT27" s="74">
        <v>36060</v>
      </c>
      <c r="BU27" s="74">
        <v>36330</v>
      </c>
      <c r="BV27" s="76">
        <v>36200</v>
      </c>
      <c r="BW27" s="76">
        <v>35930</v>
      </c>
      <c r="BX27" s="76">
        <v>35720</v>
      </c>
      <c r="BY27" s="76">
        <v>35980</v>
      </c>
      <c r="BZ27" s="76">
        <v>35970</v>
      </c>
      <c r="CA27" s="76">
        <v>36010</v>
      </c>
      <c r="CB27" s="76">
        <v>35920</v>
      </c>
      <c r="CC27" s="76">
        <v>35660</v>
      </c>
      <c r="CD27" s="76">
        <v>35920</v>
      </c>
      <c r="CE27" s="76">
        <v>35810</v>
      </c>
      <c r="CF27" s="76">
        <v>35560</v>
      </c>
      <c r="CG27" s="76">
        <v>35730</v>
      </c>
      <c r="CH27" s="76">
        <v>36840</v>
      </c>
      <c r="CI27" s="76">
        <v>37350</v>
      </c>
      <c r="CJ27" s="76">
        <v>37550</v>
      </c>
      <c r="CK27" s="76">
        <v>37910</v>
      </c>
      <c r="CL27" s="76">
        <v>38150</v>
      </c>
      <c r="CM27" s="76">
        <v>37980</v>
      </c>
      <c r="CN27" s="76">
        <v>37810</v>
      </c>
      <c r="CO27" s="76">
        <v>37580</v>
      </c>
      <c r="CP27" s="76">
        <v>37450</v>
      </c>
      <c r="CQ27" s="76">
        <v>37160</v>
      </c>
      <c r="CR27" s="76">
        <v>36930</v>
      </c>
      <c r="CS27" s="76">
        <v>37260</v>
      </c>
      <c r="CT27" s="76">
        <v>37220</v>
      </c>
      <c r="CU27" s="76">
        <v>37020</v>
      </c>
      <c r="CV27" s="76">
        <v>36840</v>
      </c>
      <c r="CW27" s="76">
        <v>36510</v>
      </c>
      <c r="CX27" s="76">
        <v>36450</v>
      </c>
      <c r="CY27" s="76">
        <v>36190</v>
      </c>
      <c r="CZ27" s="76">
        <v>36100</v>
      </c>
      <c r="DA27" s="76">
        <v>35870</v>
      </c>
      <c r="DB27" s="76">
        <v>35550</v>
      </c>
      <c r="DC27" s="76">
        <v>35110</v>
      </c>
      <c r="DD27" s="76">
        <v>34550</v>
      </c>
      <c r="DE27" s="76">
        <v>34830</v>
      </c>
      <c r="DF27" s="76">
        <v>34900</v>
      </c>
      <c r="DG27" s="76">
        <v>34900</v>
      </c>
      <c r="DH27" s="76">
        <v>34530</v>
      </c>
      <c r="DI27" s="76">
        <v>34540</v>
      </c>
      <c r="DJ27" s="76">
        <v>34590</v>
      </c>
      <c r="DK27" s="76">
        <v>34540</v>
      </c>
      <c r="DL27" s="75">
        <v>34290</v>
      </c>
      <c r="DM27" s="75">
        <v>34200</v>
      </c>
      <c r="DN27" s="75">
        <v>34040</v>
      </c>
      <c r="DO27" s="75">
        <v>34720</v>
      </c>
      <c r="DP27" s="75">
        <v>34330</v>
      </c>
      <c r="DQ27" s="75">
        <v>34240</v>
      </c>
      <c r="DR27" s="75">
        <v>34320</v>
      </c>
      <c r="DS27" s="75">
        <v>34910</v>
      </c>
      <c r="DT27" s="75">
        <v>34850</v>
      </c>
      <c r="DU27" s="75">
        <v>35080</v>
      </c>
      <c r="DV27" s="137">
        <v>35020</v>
      </c>
      <c r="DW27" s="137">
        <v>35100</v>
      </c>
      <c r="DX27" s="137">
        <v>34960</v>
      </c>
      <c r="DY27" s="137">
        <v>34740</v>
      </c>
      <c r="DZ27" s="137">
        <v>34790</v>
      </c>
      <c r="EA27" s="149">
        <v>34950</v>
      </c>
    </row>
    <row r="28" spans="1:131" s="8" customFormat="1" ht="16" customHeight="1" x14ac:dyDescent="0.25">
      <c r="A28" s="66" t="s">
        <v>21</v>
      </c>
      <c r="B28" s="67">
        <v>1350</v>
      </c>
      <c r="C28" s="67">
        <v>1360</v>
      </c>
      <c r="D28" s="67">
        <v>1350</v>
      </c>
      <c r="E28" s="67">
        <v>1320</v>
      </c>
      <c r="F28" s="67">
        <v>1320</v>
      </c>
      <c r="G28" s="67">
        <v>1300</v>
      </c>
      <c r="H28" s="67">
        <v>1290</v>
      </c>
      <c r="I28" s="67">
        <v>1310</v>
      </c>
      <c r="J28" s="67">
        <v>1330</v>
      </c>
      <c r="K28" s="67">
        <v>1300</v>
      </c>
      <c r="L28" s="67">
        <v>1330</v>
      </c>
      <c r="M28" s="67">
        <v>1310</v>
      </c>
      <c r="N28" s="67">
        <v>1330</v>
      </c>
      <c r="O28" s="67">
        <v>1310</v>
      </c>
      <c r="P28" s="67">
        <v>1300</v>
      </c>
      <c r="Q28" s="67">
        <v>1290</v>
      </c>
      <c r="R28" s="67">
        <v>1320</v>
      </c>
      <c r="S28" s="67">
        <v>1290</v>
      </c>
      <c r="T28" s="67">
        <v>1290</v>
      </c>
      <c r="U28" s="67">
        <v>1280</v>
      </c>
      <c r="V28" s="67">
        <v>1280</v>
      </c>
      <c r="W28" s="67">
        <v>1290</v>
      </c>
      <c r="X28" s="67">
        <v>1310</v>
      </c>
      <c r="Y28" s="67">
        <v>1310</v>
      </c>
      <c r="Z28" s="67">
        <v>1280</v>
      </c>
      <c r="AA28" s="67">
        <v>1330</v>
      </c>
      <c r="AB28" s="67">
        <v>1230</v>
      </c>
      <c r="AC28" s="67">
        <v>1250</v>
      </c>
      <c r="AD28" s="67">
        <v>1250</v>
      </c>
      <c r="AE28" s="67">
        <v>1220</v>
      </c>
      <c r="AF28" s="67">
        <v>1240</v>
      </c>
      <c r="AG28" s="67">
        <v>1230</v>
      </c>
      <c r="AH28" s="67">
        <v>1270</v>
      </c>
      <c r="AI28" s="67">
        <v>1260</v>
      </c>
      <c r="AJ28" s="67">
        <v>1250</v>
      </c>
      <c r="AK28" s="67">
        <v>1260</v>
      </c>
      <c r="AL28" s="67">
        <v>1260</v>
      </c>
      <c r="AM28" s="67">
        <v>1260</v>
      </c>
      <c r="AN28" s="67">
        <v>1250</v>
      </c>
      <c r="AO28" s="67">
        <v>1240</v>
      </c>
      <c r="AP28" s="67">
        <v>1230</v>
      </c>
      <c r="AQ28" s="67">
        <v>1230</v>
      </c>
      <c r="AR28" s="67">
        <v>1210</v>
      </c>
      <c r="AS28" s="67">
        <v>1220</v>
      </c>
      <c r="AT28" s="67">
        <v>1230</v>
      </c>
      <c r="AU28" s="68">
        <v>1240</v>
      </c>
      <c r="AV28" s="68">
        <v>1240</v>
      </c>
      <c r="AW28" s="68">
        <v>1240</v>
      </c>
      <c r="AX28" s="68">
        <v>1230</v>
      </c>
      <c r="AY28" s="68">
        <v>1240</v>
      </c>
      <c r="AZ28" s="68">
        <v>1230</v>
      </c>
      <c r="BA28" s="68">
        <v>1220</v>
      </c>
      <c r="BB28" s="68">
        <v>1220</v>
      </c>
      <c r="BC28" s="68">
        <v>1190</v>
      </c>
      <c r="BD28" s="69">
        <v>1190</v>
      </c>
      <c r="BE28" s="69">
        <v>1200</v>
      </c>
      <c r="BF28" s="69">
        <v>1200</v>
      </c>
      <c r="BG28" s="69">
        <v>1200</v>
      </c>
      <c r="BH28" s="69">
        <v>1210</v>
      </c>
      <c r="BI28" s="69">
        <v>1240</v>
      </c>
      <c r="BJ28" s="67">
        <v>1200</v>
      </c>
      <c r="BK28" s="67">
        <v>1210</v>
      </c>
      <c r="BL28" s="67">
        <v>1200</v>
      </c>
      <c r="BM28" s="69">
        <v>1190</v>
      </c>
      <c r="BN28" s="69">
        <v>1200</v>
      </c>
      <c r="BO28" s="69">
        <v>1190</v>
      </c>
      <c r="BP28" s="69">
        <v>1130</v>
      </c>
      <c r="BQ28" s="69">
        <v>1170</v>
      </c>
      <c r="BR28" s="70">
        <v>1170</v>
      </c>
      <c r="BS28" s="71">
        <v>1200</v>
      </c>
      <c r="BT28" s="72">
        <v>1220</v>
      </c>
      <c r="BU28" s="73">
        <v>1230</v>
      </c>
      <c r="BV28" s="73">
        <v>1220</v>
      </c>
      <c r="BW28" s="73">
        <v>1210</v>
      </c>
      <c r="BX28" s="73">
        <v>1210</v>
      </c>
      <c r="BY28" s="73">
        <v>1200</v>
      </c>
      <c r="BZ28" s="73">
        <v>1210</v>
      </c>
      <c r="CA28" s="73">
        <v>1210</v>
      </c>
      <c r="CB28" s="73">
        <v>1220</v>
      </c>
      <c r="CC28" s="73">
        <v>1240</v>
      </c>
      <c r="CD28" s="73">
        <v>1240</v>
      </c>
      <c r="CE28" s="73">
        <v>1230</v>
      </c>
      <c r="CF28" s="73">
        <v>1220</v>
      </c>
      <c r="CG28" s="73">
        <v>1270</v>
      </c>
      <c r="CH28" s="73">
        <v>1360</v>
      </c>
      <c r="CI28" s="73">
        <v>1410</v>
      </c>
      <c r="CJ28" s="73">
        <v>1410</v>
      </c>
      <c r="CK28" s="73">
        <v>1420</v>
      </c>
      <c r="CL28" s="73">
        <v>1410</v>
      </c>
      <c r="CM28" s="73">
        <v>1420</v>
      </c>
      <c r="CN28" s="73">
        <v>1420</v>
      </c>
      <c r="CO28" s="73">
        <v>1410</v>
      </c>
      <c r="CP28" s="73">
        <v>1420</v>
      </c>
      <c r="CQ28" s="73">
        <v>1380</v>
      </c>
      <c r="CR28" s="73">
        <v>1400</v>
      </c>
      <c r="CS28" s="73">
        <v>1410</v>
      </c>
      <c r="CT28" s="73">
        <v>1380</v>
      </c>
      <c r="CU28" s="73">
        <v>1390</v>
      </c>
      <c r="CV28" s="73">
        <v>1390</v>
      </c>
      <c r="CW28" s="73">
        <v>1330</v>
      </c>
      <c r="CX28" s="73">
        <v>1310</v>
      </c>
      <c r="CY28" s="73">
        <v>1360</v>
      </c>
      <c r="CZ28" s="73">
        <v>1330</v>
      </c>
      <c r="DA28" s="73">
        <v>1340</v>
      </c>
      <c r="DB28" s="73">
        <v>1270</v>
      </c>
      <c r="DC28" s="73">
        <v>1220</v>
      </c>
      <c r="DD28" s="73">
        <v>1210</v>
      </c>
      <c r="DE28" s="73">
        <v>1290</v>
      </c>
      <c r="DF28" s="73">
        <v>1280</v>
      </c>
      <c r="DG28" s="73">
        <v>1290</v>
      </c>
      <c r="DH28" s="73">
        <v>1360</v>
      </c>
      <c r="DI28" s="73">
        <v>1300</v>
      </c>
      <c r="DJ28" s="73">
        <v>1290</v>
      </c>
      <c r="DK28" s="73">
        <v>1280</v>
      </c>
      <c r="DL28" s="68">
        <v>1300</v>
      </c>
      <c r="DM28" s="68">
        <v>1250</v>
      </c>
      <c r="DN28" s="68">
        <v>1340</v>
      </c>
      <c r="DO28" s="68">
        <v>1270</v>
      </c>
      <c r="DP28" s="68">
        <v>1320</v>
      </c>
      <c r="DQ28" s="68">
        <v>1300</v>
      </c>
      <c r="DR28" s="68">
        <v>1290</v>
      </c>
      <c r="DS28" s="68">
        <v>1380</v>
      </c>
      <c r="DT28" s="68">
        <v>1310</v>
      </c>
      <c r="DU28" s="68">
        <v>1290</v>
      </c>
      <c r="DV28" s="68">
        <v>1270</v>
      </c>
      <c r="DW28" s="68">
        <v>1300</v>
      </c>
      <c r="DX28" s="68">
        <v>1290</v>
      </c>
      <c r="DY28" s="68">
        <v>1270</v>
      </c>
      <c r="DZ28" s="68">
        <v>1290</v>
      </c>
      <c r="EA28" s="148">
        <v>1270</v>
      </c>
    </row>
    <row r="29" spans="1:131" s="8" customFormat="1" ht="16" customHeight="1" x14ac:dyDescent="0.25">
      <c r="A29" s="51" t="s">
        <v>22</v>
      </c>
      <c r="B29" s="74">
        <v>10290</v>
      </c>
      <c r="C29" s="74">
        <v>10270</v>
      </c>
      <c r="D29" s="74">
        <v>10290</v>
      </c>
      <c r="E29" s="74">
        <v>10320</v>
      </c>
      <c r="F29" s="74">
        <v>10350</v>
      </c>
      <c r="G29" s="74">
        <v>10180</v>
      </c>
      <c r="H29" s="74">
        <v>10150</v>
      </c>
      <c r="I29" s="74">
        <v>10150</v>
      </c>
      <c r="J29" s="74">
        <v>10190</v>
      </c>
      <c r="K29" s="74">
        <v>10250</v>
      </c>
      <c r="L29" s="74">
        <v>10290</v>
      </c>
      <c r="M29" s="74">
        <v>10230</v>
      </c>
      <c r="N29" s="74">
        <v>10200</v>
      </c>
      <c r="O29" s="74">
        <v>10180</v>
      </c>
      <c r="P29" s="74">
        <v>10120</v>
      </c>
      <c r="Q29" s="74">
        <v>10140</v>
      </c>
      <c r="R29" s="74">
        <v>10050</v>
      </c>
      <c r="S29" s="74">
        <v>9960</v>
      </c>
      <c r="T29" s="74">
        <v>9860</v>
      </c>
      <c r="U29" s="74">
        <v>9800</v>
      </c>
      <c r="V29" s="74">
        <v>9790</v>
      </c>
      <c r="W29" s="74">
        <v>9720</v>
      </c>
      <c r="X29" s="74">
        <v>9710</v>
      </c>
      <c r="Y29" s="74">
        <v>9820</v>
      </c>
      <c r="Z29" s="74">
        <v>9580</v>
      </c>
      <c r="AA29" s="74">
        <v>9620</v>
      </c>
      <c r="AB29" s="74">
        <v>9510</v>
      </c>
      <c r="AC29" s="74">
        <v>9460</v>
      </c>
      <c r="AD29" s="74">
        <v>9560</v>
      </c>
      <c r="AE29" s="74">
        <v>9460</v>
      </c>
      <c r="AF29" s="74">
        <v>9400</v>
      </c>
      <c r="AG29" s="74">
        <v>9370</v>
      </c>
      <c r="AH29" s="74">
        <v>9380</v>
      </c>
      <c r="AI29" s="74">
        <v>9270</v>
      </c>
      <c r="AJ29" s="74">
        <v>9360</v>
      </c>
      <c r="AK29" s="74">
        <v>9490</v>
      </c>
      <c r="AL29" s="74">
        <v>9390</v>
      </c>
      <c r="AM29" s="74">
        <v>9340</v>
      </c>
      <c r="AN29" s="74">
        <v>9320</v>
      </c>
      <c r="AO29" s="74">
        <v>9260</v>
      </c>
      <c r="AP29" s="74">
        <v>9240</v>
      </c>
      <c r="AQ29" s="74">
        <v>9180</v>
      </c>
      <c r="AR29" s="74">
        <v>9130</v>
      </c>
      <c r="AS29" s="74">
        <v>9130</v>
      </c>
      <c r="AT29" s="74">
        <v>9100</v>
      </c>
      <c r="AU29" s="75">
        <v>9020</v>
      </c>
      <c r="AV29" s="75">
        <v>9050</v>
      </c>
      <c r="AW29" s="75">
        <v>9130</v>
      </c>
      <c r="AX29" s="75">
        <v>9090</v>
      </c>
      <c r="AY29" s="75">
        <v>9060</v>
      </c>
      <c r="AZ29" s="75">
        <v>8960</v>
      </c>
      <c r="BA29" s="75">
        <v>8980</v>
      </c>
      <c r="BB29" s="75">
        <v>9040</v>
      </c>
      <c r="BC29" s="75">
        <v>8940</v>
      </c>
      <c r="BD29" s="76">
        <v>8890</v>
      </c>
      <c r="BE29" s="76">
        <v>8870</v>
      </c>
      <c r="BF29" s="76">
        <v>8850</v>
      </c>
      <c r="BG29" s="76">
        <v>8760</v>
      </c>
      <c r="BH29" s="76">
        <v>8860</v>
      </c>
      <c r="BI29" s="76">
        <v>8850</v>
      </c>
      <c r="BJ29" s="74">
        <v>8770</v>
      </c>
      <c r="BK29" s="74">
        <v>8830</v>
      </c>
      <c r="BL29" s="74">
        <v>8790</v>
      </c>
      <c r="BM29" s="76">
        <v>8740</v>
      </c>
      <c r="BN29" s="76">
        <v>8790</v>
      </c>
      <c r="BO29" s="76">
        <v>8720</v>
      </c>
      <c r="BP29" s="76">
        <v>8420</v>
      </c>
      <c r="BQ29" s="76">
        <v>8650</v>
      </c>
      <c r="BR29" s="76">
        <v>8580</v>
      </c>
      <c r="BS29" s="74">
        <v>8560</v>
      </c>
      <c r="BT29" s="74">
        <v>8520</v>
      </c>
      <c r="BU29" s="74">
        <v>8490</v>
      </c>
      <c r="BV29" s="76">
        <v>8440</v>
      </c>
      <c r="BW29" s="76">
        <v>8430</v>
      </c>
      <c r="BX29" s="76">
        <v>8370</v>
      </c>
      <c r="BY29" s="76">
        <v>8370</v>
      </c>
      <c r="BZ29" s="76">
        <v>8360</v>
      </c>
      <c r="CA29" s="76">
        <v>8300</v>
      </c>
      <c r="CB29" s="76">
        <v>8230</v>
      </c>
      <c r="CC29" s="76">
        <v>8180</v>
      </c>
      <c r="CD29" s="76">
        <v>8150</v>
      </c>
      <c r="CE29" s="76">
        <v>8060</v>
      </c>
      <c r="CF29" s="76">
        <v>8130</v>
      </c>
      <c r="CG29" s="76">
        <v>8090</v>
      </c>
      <c r="CH29" s="76">
        <v>8430</v>
      </c>
      <c r="CI29" s="76">
        <v>8370</v>
      </c>
      <c r="CJ29" s="76">
        <v>8340</v>
      </c>
      <c r="CK29" s="76">
        <v>8400</v>
      </c>
      <c r="CL29" s="76">
        <v>8540</v>
      </c>
      <c r="CM29" s="76">
        <v>8660</v>
      </c>
      <c r="CN29" s="76">
        <v>8670</v>
      </c>
      <c r="CO29" s="76">
        <v>8700</v>
      </c>
      <c r="CP29" s="76">
        <v>8910</v>
      </c>
      <c r="CQ29" s="76">
        <v>8950</v>
      </c>
      <c r="CR29" s="76">
        <v>9070</v>
      </c>
      <c r="CS29" s="76">
        <v>9130</v>
      </c>
      <c r="CT29" s="76">
        <v>9160</v>
      </c>
      <c r="CU29" s="76">
        <v>9120</v>
      </c>
      <c r="CV29" s="76">
        <v>9110</v>
      </c>
      <c r="CW29" s="76">
        <v>9010</v>
      </c>
      <c r="CX29" s="76">
        <v>8920</v>
      </c>
      <c r="CY29" s="76">
        <v>8920</v>
      </c>
      <c r="CZ29" s="76">
        <v>8840</v>
      </c>
      <c r="DA29" s="76">
        <v>8740</v>
      </c>
      <c r="DB29" s="76">
        <v>8760</v>
      </c>
      <c r="DC29" s="76">
        <v>8610</v>
      </c>
      <c r="DD29" s="76">
        <v>8580</v>
      </c>
      <c r="DE29" s="76">
        <v>8580</v>
      </c>
      <c r="DF29" s="76">
        <v>8570</v>
      </c>
      <c r="DG29" s="76">
        <v>8570</v>
      </c>
      <c r="DH29" s="76">
        <v>8620</v>
      </c>
      <c r="DI29" s="76">
        <v>8540</v>
      </c>
      <c r="DJ29" s="76">
        <v>8640</v>
      </c>
      <c r="DK29" s="76">
        <v>8590</v>
      </c>
      <c r="DL29" s="75">
        <v>8430</v>
      </c>
      <c r="DM29" s="75">
        <v>8440</v>
      </c>
      <c r="DN29" s="75">
        <v>8500</v>
      </c>
      <c r="DO29" s="75">
        <v>8480</v>
      </c>
      <c r="DP29" s="75">
        <v>8520</v>
      </c>
      <c r="DQ29" s="75">
        <v>8470</v>
      </c>
      <c r="DR29" s="75">
        <v>8520</v>
      </c>
      <c r="DS29" s="75">
        <v>8700</v>
      </c>
      <c r="DT29" s="75">
        <v>8710</v>
      </c>
      <c r="DU29" s="75">
        <v>8740</v>
      </c>
      <c r="DV29" s="137">
        <v>8800</v>
      </c>
      <c r="DW29" s="137">
        <v>8800</v>
      </c>
      <c r="DX29" s="137">
        <v>8780</v>
      </c>
      <c r="DY29" s="137">
        <v>8800</v>
      </c>
      <c r="DZ29" s="137">
        <v>8820</v>
      </c>
      <c r="EA29" s="149">
        <v>8790</v>
      </c>
    </row>
    <row r="30" spans="1:131" s="8" customFormat="1" ht="16" customHeight="1" x14ac:dyDescent="0.25">
      <c r="A30" s="66" t="s">
        <v>23</v>
      </c>
      <c r="B30" s="67">
        <v>20920</v>
      </c>
      <c r="C30" s="67">
        <v>20930</v>
      </c>
      <c r="D30" s="67">
        <v>20950</v>
      </c>
      <c r="E30" s="67">
        <v>20940</v>
      </c>
      <c r="F30" s="67">
        <v>21040</v>
      </c>
      <c r="G30" s="67">
        <v>20850</v>
      </c>
      <c r="H30" s="67">
        <v>20970</v>
      </c>
      <c r="I30" s="67">
        <v>20740</v>
      </c>
      <c r="J30" s="67">
        <v>20720</v>
      </c>
      <c r="K30" s="67">
        <v>20630</v>
      </c>
      <c r="L30" s="67">
        <v>20670</v>
      </c>
      <c r="M30" s="67">
        <v>20700</v>
      </c>
      <c r="N30" s="67">
        <v>20530</v>
      </c>
      <c r="O30" s="67">
        <v>20500</v>
      </c>
      <c r="P30" s="67">
        <v>20440</v>
      </c>
      <c r="Q30" s="67">
        <v>20450</v>
      </c>
      <c r="R30" s="67">
        <v>20550</v>
      </c>
      <c r="S30" s="67">
        <v>20350</v>
      </c>
      <c r="T30" s="67">
        <v>20300</v>
      </c>
      <c r="U30" s="67">
        <v>20300</v>
      </c>
      <c r="V30" s="67">
        <v>19990</v>
      </c>
      <c r="W30" s="67">
        <v>19830</v>
      </c>
      <c r="X30" s="67">
        <v>19940</v>
      </c>
      <c r="Y30" s="67">
        <v>20010</v>
      </c>
      <c r="Z30" s="67">
        <v>19790</v>
      </c>
      <c r="AA30" s="67">
        <v>19710</v>
      </c>
      <c r="AB30" s="67">
        <v>19740</v>
      </c>
      <c r="AC30" s="67">
        <v>19600</v>
      </c>
      <c r="AD30" s="67">
        <v>19700</v>
      </c>
      <c r="AE30" s="67">
        <v>19500</v>
      </c>
      <c r="AF30" s="67">
        <v>19300</v>
      </c>
      <c r="AG30" s="67">
        <v>19140</v>
      </c>
      <c r="AH30" s="67">
        <v>19120</v>
      </c>
      <c r="AI30" s="67">
        <v>18960</v>
      </c>
      <c r="AJ30" s="67">
        <v>19060</v>
      </c>
      <c r="AK30" s="67">
        <v>19110</v>
      </c>
      <c r="AL30" s="67">
        <v>18930</v>
      </c>
      <c r="AM30" s="67">
        <v>18890</v>
      </c>
      <c r="AN30" s="67">
        <v>18790</v>
      </c>
      <c r="AO30" s="67">
        <v>18830</v>
      </c>
      <c r="AP30" s="67">
        <v>18860</v>
      </c>
      <c r="AQ30" s="67">
        <v>18680</v>
      </c>
      <c r="AR30" s="67">
        <v>18660</v>
      </c>
      <c r="AS30" s="67">
        <v>18550</v>
      </c>
      <c r="AT30" s="67">
        <v>18500</v>
      </c>
      <c r="AU30" s="68">
        <v>18350</v>
      </c>
      <c r="AV30" s="68">
        <v>18400</v>
      </c>
      <c r="AW30" s="68">
        <v>18450</v>
      </c>
      <c r="AX30" s="68">
        <v>18440</v>
      </c>
      <c r="AY30" s="68">
        <v>18550</v>
      </c>
      <c r="AZ30" s="68">
        <v>18470</v>
      </c>
      <c r="BA30" s="68">
        <v>18490</v>
      </c>
      <c r="BB30" s="68">
        <v>18570</v>
      </c>
      <c r="BC30" s="68">
        <v>18440</v>
      </c>
      <c r="BD30" s="69">
        <v>17950</v>
      </c>
      <c r="BE30" s="69">
        <v>18120</v>
      </c>
      <c r="BF30" s="69">
        <v>18210</v>
      </c>
      <c r="BG30" s="69">
        <v>18120</v>
      </c>
      <c r="BH30" s="69">
        <v>18200</v>
      </c>
      <c r="BI30" s="69">
        <v>18330</v>
      </c>
      <c r="BJ30" s="67">
        <v>18170</v>
      </c>
      <c r="BK30" s="67">
        <v>18090</v>
      </c>
      <c r="BL30" s="67">
        <v>18180</v>
      </c>
      <c r="BM30" s="69">
        <v>18240</v>
      </c>
      <c r="BN30" s="69">
        <v>18300</v>
      </c>
      <c r="BO30" s="69">
        <v>18150</v>
      </c>
      <c r="BP30" s="69">
        <v>17760</v>
      </c>
      <c r="BQ30" s="69">
        <v>18080</v>
      </c>
      <c r="BR30" s="70">
        <v>17940</v>
      </c>
      <c r="BS30" s="71">
        <v>18060</v>
      </c>
      <c r="BT30" s="72">
        <v>18160</v>
      </c>
      <c r="BU30" s="73">
        <v>18120</v>
      </c>
      <c r="BV30" s="73">
        <v>17950</v>
      </c>
      <c r="BW30" s="73">
        <v>17950</v>
      </c>
      <c r="BX30" s="73">
        <v>18040</v>
      </c>
      <c r="BY30" s="73">
        <v>18110</v>
      </c>
      <c r="BZ30" s="73">
        <v>18220</v>
      </c>
      <c r="CA30" s="73">
        <v>18010</v>
      </c>
      <c r="CB30" s="73">
        <v>18040</v>
      </c>
      <c r="CC30" s="73">
        <v>17940</v>
      </c>
      <c r="CD30" s="73">
        <v>17970</v>
      </c>
      <c r="CE30" s="73">
        <v>17880</v>
      </c>
      <c r="CF30" s="73">
        <v>17790</v>
      </c>
      <c r="CG30" s="73">
        <v>17830</v>
      </c>
      <c r="CH30" s="73">
        <v>18690</v>
      </c>
      <c r="CI30" s="73">
        <v>19620</v>
      </c>
      <c r="CJ30" s="73">
        <v>19660</v>
      </c>
      <c r="CK30" s="73">
        <v>19590</v>
      </c>
      <c r="CL30" s="73">
        <v>19540</v>
      </c>
      <c r="CM30" s="73">
        <v>19460</v>
      </c>
      <c r="CN30" s="73">
        <v>19420</v>
      </c>
      <c r="CO30" s="73">
        <v>19290</v>
      </c>
      <c r="CP30" s="73">
        <v>19260</v>
      </c>
      <c r="CQ30" s="73">
        <v>19150</v>
      </c>
      <c r="CR30" s="73">
        <v>19110</v>
      </c>
      <c r="CS30" s="73">
        <v>19100</v>
      </c>
      <c r="CT30" s="73">
        <v>18930</v>
      </c>
      <c r="CU30" s="73">
        <v>18730</v>
      </c>
      <c r="CV30" s="73">
        <v>18670</v>
      </c>
      <c r="CW30" s="73">
        <v>18470</v>
      </c>
      <c r="CX30" s="73">
        <v>18370</v>
      </c>
      <c r="CY30" s="73">
        <v>18230</v>
      </c>
      <c r="CZ30" s="73">
        <v>18160</v>
      </c>
      <c r="DA30" s="73">
        <v>18110</v>
      </c>
      <c r="DB30" s="73">
        <v>17950</v>
      </c>
      <c r="DC30" s="73">
        <v>17520</v>
      </c>
      <c r="DD30" s="73">
        <v>17320</v>
      </c>
      <c r="DE30" s="73">
        <v>17040</v>
      </c>
      <c r="DF30" s="73">
        <v>16590</v>
      </c>
      <c r="DG30" s="73">
        <v>16650</v>
      </c>
      <c r="DH30" s="73">
        <v>16510</v>
      </c>
      <c r="DI30" s="73">
        <v>16450</v>
      </c>
      <c r="DJ30" s="73">
        <v>16490</v>
      </c>
      <c r="DK30" s="73">
        <v>16500</v>
      </c>
      <c r="DL30" s="68">
        <v>16380</v>
      </c>
      <c r="DM30" s="68">
        <v>16260</v>
      </c>
      <c r="DN30" s="68">
        <v>16140</v>
      </c>
      <c r="DO30" s="68">
        <v>16290</v>
      </c>
      <c r="DP30" s="68">
        <v>16200</v>
      </c>
      <c r="DQ30" s="68">
        <v>15910</v>
      </c>
      <c r="DR30" s="68">
        <v>16040</v>
      </c>
      <c r="DS30" s="68">
        <v>16330</v>
      </c>
      <c r="DT30" s="68">
        <v>16120</v>
      </c>
      <c r="DU30" s="68">
        <v>16130</v>
      </c>
      <c r="DV30" s="68">
        <v>16170</v>
      </c>
      <c r="DW30" s="68">
        <v>16180</v>
      </c>
      <c r="DX30" s="68">
        <v>16180</v>
      </c>
      <c r="DY30" s="68">
        <v>16260</v>
      </c>
      <c r="DZ30" s="68">
        <v>16370</v>
      </c>
      <c r="EA30" s="148">
        <v>16100</v>
      </c>
    </row>
    <row r="31" spans="1:131" s="8" customFormat="1" ht="16" customHeight="1" x14ac:dyDescent="0.25">
      <c r="A31" s="51" t="s">
        <v>24</v>
      </c>
      <c r="B31" s="74">
        <v>9970</v>
      </c>
      <c r="C31" s="74">
        <v>9950</v>
      </c>
      <c r="D31" s="74">
        <v>9930</v>
      </c>
      <c r="E31" s="74">
        <v>9980</v>
      </c>
      <c r="F31" s="74">
        <v>10040</v>
      </c>
      <c r="G31" s="74">
        <v>9840</v>
      </c>
      <c r="H31" s="74">
        <v>9910</v>
      </c>
      <c r="I31" s="74">
        <v>9910</v>
      </c>
      <c r="J31" s="74">
        <v>9970</v>
      </c>
      <c r="K31" s="74">
        <v>9910</v>
      </c>
      <c r="L31" s="74">
        <v>9880</v>
      </c>
      <c r="M31" s="74">
        <v>9890</v>
      </c>
      <c r="N31" s="74">
        <v>9860</v>
      </c>
      <c r="O31" s="74">
        <v>9770</v>
      </c>
      <c r="P31" s="74">
        <v>9710</v>
      </c>
      <c r="Q31" s="74">
        <v>9730</v>
      </c>
      <c r="R31" s="74">
        <v>9700</v>
      </c>
      <c r="S31" s="74">
        <v>9550</v>
      </c>
      <c r="T31" s="74">
        <v>9620</v>
      </c>
      <c r="U31" s="74">
        <v>9570</v>
      </c>
      <c r="V31" s="74">
        <v>9490</v>
      </c>
      <c r="W31" s="74">
        <v>9440</v>
      </c>
      <c r="X31" s="74">
        <v>9650</v>
      </c>
      <c r="Y31" s="74">
        <v>9430</v>
      </c>
      <c r="Z31" s="74">
        <v>9340</v>
      </c>
      <c r="AA31" s="74">
        <v>9270</v>
      </c>
      <c r="AB31" s="74">
        <v>9220</v>
      </c>
      <c r="AC31" s="74">
        <v>9160</v>
      </c>
      <c r="AD31" s="74">
        <v>9180</v>
      </c>
      <c r="AE31" s="74">
        <v>9080</v>
      </c>
      <c r="AF31" s="74">
        <v>9010</v>
      </c>
      <c r="AG31" s="74">
        <v>9050</v>
      </c>
      <c r="AH31" s="74">
        <v>8980</v>
      </c>
      <c r="AI31" s="74">
        <v>8990</v>
      </c>
      <c r="AJ31" s="74">
        <v>9130</v>
      </c>
      <c r="AK31" s="74">
        <v>9050</v>
      </c>
      <c r="AL31" s="74">
        <v>8950</v>
      </c>
      <c r="AM31" s="74">
        <v>8910</v>
      </c>
      <c r="AN31" s="74">
        <v>8820</v>
      </c>
      <c r="AO31" s="74">
        <v>8750</v>
      </c>
      <c r="AP31" s="74">
        <v>8770</v>
      </c>
      <c r="AQ31" s="74">
        <v>8750</v>
      </c>
      <c r="AR31" s="74">
        <v>8680</v>
      </c>
      <c r="AS31" s="74">
        <v>8680</v>
      </c>
      <c r="AT31" s="74">
        <v>8730</v>
      </c>
      <c r="AU31" s="75">
        <v>8660</v>
      </c>
      <c r="AV31" s="75">
        <v>8780</v>
      </c>
      <c r="AW31" s="75">
        <v>8720</v>
      </c>
      <c r="AX31" s="75">
        <v>8680</v>
      </c>
      <c r="AY31" s="75">
        <v>8680</v>
      </c>
      <c r="AZ31" s="75">
        <v>8590</v>
      </c>
      <c r="BA31" s="75">
        <v>8520</v>
      </c>
      <c r="BB31" s="75">
        <v>8600</v>
      </c>
      <c r="BC31" s="75">
        <v>8570</v>
      </c>
      <c r="BD31" s="76">
        <v>8520</v>
      </c>
      <c r="BE31" s="76">
        <v>8450</v>
      </c>
      <c r="BF31" s="76">
        <v>8450</v>
      </c>
      <c r="BG31" s="76">
        <v>8410</v>
      </c>
      <c r="BH31" s="76">
        <v>8460</v>
      </c>
      <c r="BI31" s="76">
        <v>8500</v>
      </c>
      <c r="BJ31" s="74">
        <v>8380</v>
      </c>
      <c r="BK31" s="74">
        <v>8440</v>
      </c>
      <c r="BL31" s="74">
        <v>8420</v>
      </c>
      <c r="BM31" s="76">
        <v>8450</v>
      </c>
      <c r="BN31" s="76">
        <v>8400</v>
      </c>
      <c r="BO31" s="76">
        <v>8280</v>
      </c>
      <c r="BP31" s="76">
        <v>8100</v>
      </c>
      <c r="BQ31" s="76">
        <v>8150</v>
      </c>
      <c r="BR31" s="76">
        <v>8210</v>
      </c>
      <c r="BS31" s="74">
        <v>8370</v>
      </c>
      <c r="BT31" s="74">
        <v>8590</v>
      </c>
      <c r="BU31" s="74">
        <v>8450</v>
      </c>
      <c r="BV31" s="76">
        <v>8390</v>
      </c>
      <c r="BW31" s="76">
        <v>8350</v>
      </c>
      <c r="BX31" s="76">
        <v>8280</v>
      </c>
      <c r="BY31" s="76">
        <v>8420</v>
      </c>
      <c r="BZ31" s="76">
        <v>8460</v>
      </c>
      <c r="CA31" s="76">
        <v>8290</v>
      </c>
      <c r="CB31" s="76">
        <v>8210</v>
      </c>
      <c r="CC31" s="76">
        <v>8200</v>
      </c>
      <c r="CD31" s="76">
        <v>8250</v>
      </c>
      <c r="CE31" s="76">
        <v>8150</v>
      </c>
      <c r="CF31" s="76">
        <v>8420</v>
      </c>
      <c r="CG31" s="76">
        <v>8370</v>
      </c>
      <c r="CH31" s="76">
        <v>8980</v>
      </c>
      <c r="CI31" s="76">
        <v>9130</v>
      </c>
      <c r="CJ31" s="76">
        <v>9110</v>
      </c>
      <c r="CK31" s="76">
        <v>9140</v>
      </c>
      <c r="CL31" s="76">
        <v>9170</v>
      </c>
      <c r="CM31" s="76">
        <v>9230</v>
      </c>
      <c r="CN31" s="76">
        <v>9190</v>
      </c>
      <c r="CO31" s="76">
        <v>9130</v>
      </c>
      <c r="CP31" s="76">
        <v>8970</v>
      </c>
      <c r="CQ31" s="76">
        <v>8950</v>
      </c>
      <c r="CR31" s="76">
        <v>8860</v>
      </c>
      <c r="CS31" s="76">
        <v>8730</v>
      </c>
      <c r="CT31" s="76">
        <v>8610</v>
      </c>
      <c r="CU31" s="76">
        <v>8600</v>
      </c>
      <c r="CV31" s="76">
        <v>8530</v>
      </c>
      <c r="CW31" s="76">
        <v>8470</v>
      </c>
      <c r="CX31" s="76">
        <v>8420</v>
      </c>
      <c r="CY31" s="76">
        <v>8290</v>
      </c>
      <c r="CZ31" s="76">
        <v>8200</v>
      </c>
      <c r="DA31" s="76">
        <v>8160</v>
      </c>
      <c r="DB31" s="76">
        <v>8110</v>
      </c>
      <c r="DC31" s="76">
        <v>8120</v>
      </c>
      <c r="DD31" s="76">
        <v>7970</v>
      </c>
      <c r="DE31" s="76">
        <v>7800</v>
      </c>
      <c r="DF31" s="76">
        <v>7890</v>
      </c>
      <c r="DG31" s="76">
        <v>7850</v>
      </c>
      <c r="DH31" s="76">
        <v>7810</v>
      </c>
      <c r="DI31" s="76">
        <v>7820</v>
      </c>
      <c r="DJ31" s="76">
        <v>7810</v>
      </c>
      <c r="DK31" s="76">
        <v>7930</v>
      </c>
      <c r="DL31" s="75">
        <v>7880</v>
      </c>
      <c r="DM31" s="75">
        <v>7760</v>
      </c>
      <c r="DN31" s="75">
        <v>7750</v>
      </c>
      <c r="DO31" s="75">
        <v>7790</v>
      </c>
      <c r="DP31" s="75">
        <v>7810</v>
      </c>
      <c r="DQ31" s="75">
        <v>7730</v>
      </c>
      <c r="DR31" s="75">
        <v>7800</v>
      </c>
      <c r="DS31" s="75">
        <v>7830</v>
      </c>
      <c r="DT31" s="75">
        <v>7850</v>
      </c>
      <c r="DU31" s="75">
        <v>7840</v>
      </c>
      <c r="DV31" s="137">
        <v>7880</v>
      </c>
      <c r="DW31" s="137">
        <v>7830</v>
      </c>
      <c r="DX31" s="137">
        <v>7810</v>
      </c>
      <c r="DY31" s="137">
        <v>7770</v>
      </c>
      <c r="DZ31" s="137">
        <v>7810</v>
      </c>
      <c r="EA31" s="149">
        <v>7690</v>
      </c>
    </row>
    <row r="32" spans="1:131" s="8" customFormat="1" ht="16" customHeight="1" x14ac:dyDescent="0.25">
      <c r="A32" s="66" t="s">
        <v>25</v>
      </c>
      <c r="B32" s="67">
        <v>1240</v>
      </c>
      <c r="C32" s="67">
        <v>1240</v>
      </c>
      <c r="D32" s="67">
        <v>1210</v>
      </c>
      <c r="E32" s="67">
        <v>1190</v>
      </c>
      <c r="F32" s="67">
        <v>1190</v>
      </c>
      <c r="G32" s="67">
        <v>1180</v>
      </c>
      <c r="H32" s="67">
        <v>1170</v>
      </c>
      <c r="I32" s="67">
        <v>1160</v>
      </c>
      <c r="J32" s="67">
        <v>1170</v>
      </c>
      <c r="K32" s="67">
        <v>1160</v>
      </c>
      <c r="L32" s="67">
        <v>1170</v>
      </c>
      <c r="M32" s="67">
        <v>1170</v>
      </c>
      <c r="N32" s="67">
        <v>1170</v>
      </c>
      <c r="O32" s="67">
        <v>1150</v>
      </c>
      <c r="P32" s="67">
        <v>1150</v>
      </c>
      <c r="Q32" s="67">
        <v>1120</v>
      </c>
      <c r="R32" s="67">
        <v>1120</v>
      </c>
      <c r="S32" s="67">
        <v>1100</v>
      </c>
      <c r="T32" s="67">
        <v>1110</v>
      </c>
      <c r="U32" s="67">
        <v>1090</v>
      </c>
      <c r="V32" s="67">
        <v>1110</v>
      </c>
      <c r="W32" s="67">
        <v>1100</v>
      </c>
      <c r="X32" s="67">
        <v>1100</v>
      </c>
      <c r="Y32" s="67">
        <v>1100</v>
      </c>
      <c r="Z32" s="67">
        <v>1100</v>
      </c>
      <c r="AA32" s="67">
        <v>1110</v>
      </c>
      <c r="AB32" s="67">
        <v>1090</v>
      </c>
      <c r="AC32" s="67">
        <v>1080</v>
      </c>
      <c r="AD32" s="67">
        <v>1060</v>
      </c>
      <c r="AE32" s="67">
        <v>1040</v>
      </c>
      <c r="AF32" s="67">
        <v>1040</v>
      </c>
      <c r="AG32" s="67">
        <v>1040</v>
      </c>
      <c r="AH32" s="67">
        <v>1050</v>
      </c>
      <c r="AI32" s="67">
        <v>1060</v>
      </c>
      <c r="AJ32" s="67">
        <v>1060</v>
      </c>
      <c r="AK32" s="67">
        <v>1070</v>
      </c>
      <c r="AL32" s="67">
        <v>1070</v>
      </c>
      <c r="AM32" s="67">
        <v>1060</v>
      </c>
      <c r="AN32" s="67">
        <v>1070</v>
      </c>
      <c r="AO32" s="67">
        <v>1070</v>
      </c>
      <c r="AP32" s="67">
        <v>1080</v>
      </c>
      <c r="AQ32" s="67">
        <v>1050</v>
      </c>
      <c r="AR32" s="67">
        <v>1050</v>
      </c>
      <c r="AS32" s="67">
        <v>1070</v>
      </c>
      <c r="AT32" s="67">
        <v>1050</v>
      </c>
      <c r="AU32" s="68">
        <v>1060</v>
      </c>
      <c r="AV32" s="68">
        <v>1080</v>
      </c>
      <c r="AW32" s="68">
        <v>1070</v>
      </c>
      <c r="AX32" s="68">
        <v>1050</v>
      </c>
      <c r="AY32" s="68">
        <v>1060</v>
      </c>
      <c r="AZ32" s="68">
        <v>1060</v>
      </c>
      <c r="BA32" s="68">
        <v>1050</v>
      </c>
      <c r="BB32" s="68">
        <v>1050</v>
      </c>
      <c r="BC32" s="68">
        <v>1050</v>
      </c>
      <c r="BD32" s="69">
        <v>1020</v>
      </c>
      <c r="BE32" s="69">
        <v>1020</v>
      </c>
      <c r="BF32" s="69">
        <v>1030</v>
      </c>
      <c r="BG32" s="69">
        <v>1030</v>
      </c>
      <c r="BH32" s="69">
        <v>1030</v>
      </c>
      <c r="BI32" s="69">
        <v>1040</v>
      </c>
      <c r="BJ32" s="67">
        <v>1030</v>
      </c>
      <c r="BK32" s="67">
        <v>1030</v>
      </c>
      <c r="BL32" s="67">
        <v>1040</v>
      </c>
      <c r="BM32" s="69">
        <v>1050</v>
      </c>
      <c r="BN32" s="69">
        <v>1050</v>
      </c>
      <c r="BO32" s="69">
        <v>1050</v>
      </c>
      <c r="BP32" s="69">
        <v>1020</v>
      </c>
      <c r="BQ32" s="69">
        <v>1030</v>
      </c>
      <c r="BR32" s="70">
        <v>1040</v>
      </c>
      <c r="BS32" s="71">
        <v>1050</v>
      </c>
      <c r="BT32" s="72">
        <v>1060</v>
      </c>
      <c r="BU32" s="73">
        <v>1070</v>
      </c>
      <c r="BV32" s="73">
        <v>1070</v>
      </c>
      <c r="BW32" s="73">
        <v>1060</v>
      </c>
      <c r="BX32" s="73">
        <v>1080</v>
      </c>
      <c r="BY32" s="73">
        <v>1090</v>
      </c>
      <c r="BZ32" s="73">
        <v>1080</v>
      </c>
      <c r="CA32" s="73">
        <v>1090</v>
      </c>
      <c r="CB32" s="73">
        <v>1070</v>
      </c>
      <c r="CC32" s="73">
        <v>1060</v>
      </c>
      <c r="CD32" s="73">
        <v>1070</v>
      </c>
      <c r="CE32" s="73">
        <v>1060</v>
      </c>
      <c r="CF32" s="73">
        <v>1100</v>
      </c>
      <c r="CG32" s="73">
        <v>1070</v>
      </c>
      <c r="CH32" s="73">
        <v>1140</v>
      </c>
      <c r="CI32" s="73">
        <v>1150</v>
      </c>
      <c r="CJ32" s="73">
        <v>1160</v>
      </c>
      <c r="CK32" s="73">
        <v>1150</v>
      </c>
      <c r="CL32" s="73">
        <v>1180</v>
      </c>
      <c r="CM32" s="73">
        <v>1190</v>
      </c>
      <c r="CN32" s="73">
        <v>1200</v>
      </c>
      <c r="CO32" s="73">
        <v>1180</v>
      </c>
      <c r="CP32" s="73">
        <v>1190</v>
      </c>
      <c r="CQ32" s="73">
        <v>1200</v>
      </c>
      <c r="CR32" s="73">
        <v>1180</v>
      </c>
      <c r="CS32" s="73">
        <v>1190</v>
      </c>
      <c r="CT32" s="73">
        <v>1160</v>
      </c>
      <c r="CU32" s="73">
        <v>1150</v>
      </c>
      <c r="CV32" s="73">
        <v>1160</v>
      </c>
      <c r="CW32" s="73">
        <v>1140</v>
      </c>
      <c r="CX32" s="73">
        <v>1130</v>
      </c>
      <c r="CY32" s="73">
        <v>1110</v>
      </c>
      <c r="CZ32" s="73">
        <v>1110</v>
      </c>
      <c r="DA32" s="73">
        <v>1110</v>
      </c>
      <c r="DB32" s="73">
        <v>1110</v>
      </c>
      <c r="DC32" s="73">
        <v>1080</v>
      </c>
      <c r="DD32" s="73">
        <v>1060</v>
      </c>
      <c r="DE32" s="73">
        <v>1100</v>
      </c>
      <c r="DF32" s="73">
        <v>1090</v>
      </c>
      <c r="DG32" s="73">
        <v>1090</v>
      </c>
      <c r="DH32" s="73">
        <v>1100</v>
      </c>
      <c r="DI32" s="73">
        <v>1100</v>
      </c>
      <c r="DJ32" s="73">
        <v>1100</v>
      </c>
      <c r="DK32" s="73">
        <v>1100</v>
      </c>
      <c r="DL32" s="68">
        <v>1080</v>
      </c>
      <c r="DM32" s="68">
        <v>1090</v>
      </c>
      <c r="DN32" s="68">
        <v>1070</v>
      </c>
      <c r="DO32" s="68">
        <v>1070</v>
      </c>
      <c r="DP32" s="68">
        <v>1070</v>
      </c>
      <c r="DQ32" s="68">
        <v>1050</v>
      </c>
      <c r="DR32" s="68">
        <v>1060</v>
      </c>
      <c r="DS32" s="68">
        <v>1090</v>
      </c>
      <c r="DT32" s="68">
        <v>1080</v>
      </c>
      <c r="DU32" s="68">
        <v>1090</v>
      </c>
      <c r="DV32" s="68">
        <v>1080</v>
      </c>
      <c r="DW32" s="68">
        <v>1080</v>
      </c>
      <c r="DX32" s="68">
        <v>1090</v>
      </c>
      <c r="DY32" s="68">
        <v>1100</v>
      </c>
      <c r="DZ32" s="68">
        <v>1070</v>
      </c>
      <c r="EA32" s="148">
        <v>1080</v>
      </c>
    </row>
    <row r="33" spans="1:131" s="8" customFormat="1" ht="16" customHeight="1" x14ac:dyDescent="0.25">
      <c r="A33" s="51" t="s">
        <v>26</v>
      </c>
      <c r="B33" s="74">
        <v>12730</v>
      </c>
      <c r="C33" s="74">
        <v>12690</v>
      </c>
      <c r="D33" s="74">
        <v>12730</v>
      </c>
      <c r="E33" s="74">
        <v>12710</v>
      </c>
      <c r="F33" s="74">
        <v>12800</v>
      </c>
      <c r="G33" s="74">
        <v>12690</v>
      </c>
      <c r="H33" s="74">
        <v>12780</v>
      </c>
      <c r="I33" s="74">
        <v>12650</v>
      </c>
      <c r="J33" s="74">
        <v>12630</v>
      </c>
      <c r="K33" s="74">
        <v>12610</v>
      </c>
      <c r="L33" s="74">
        <v>12680</v>
      </c>
      <c r="M33" s="74">
        <v>12540</v>
      </c>
      <c r="N33" s="74">
        <v>12610</v>
      </c>
      <c r="O33" s="74">
        <v>12650</v>
      </c>
      <c r="P33" s="74">
        <v>12630</v>
      </c>
      <c r="Q33" s="74">
        <v>12500</v>
      </c>
      <c r="R33" s="74">
        <v>12560</v>
      </c>
      <c r="S33" s="74">
        <v>12440</v>
      </c>
      <c r="T33" s="74">
        <v>12410</v>
      </c>
      <c r="U33" s="74">
        <v>12380</v>
      </c>
      <c r="V33" s="74">
        <v>12370</v>
      </c>
      <c r="W33" s="74">
        <v>12280</v>
      </c>
      <c r="X33" s="74">
        <v>12320</v>
      </c>
      <c r="Y33" s="74">
        <v>12260</v>
      </c>
      <c r="Z33" s="74">
        <v>12110</v>
      </c>
      <c r="AA33" s="74">
        <v>12080</v>
      </c>
      <c r="AB33" s="74">
        <v>11960</v>
      </c>
      <c r="AC33" s="74">
        <v>11870</v>
      </c>
      <c r="AD33" s="74">
        <v>11950</v>
      </c>
      <c r="AE33" s="74">
        <v>11900</v>
      </c>
      <c r="AF33" s="74">
        <v>11810</v>
      </c>
      <c r="AG33" s="74">
        <v>11750</v>
      </c>
      <c r="AH33" s="74">
        <v>11670</v>
      </c>
      <c r="AI33" s="74">
        <v>11640</v>
      </c>
      <c r="AJ33" s="74">
        <v>11650</v>
      </c>
      <c r="AK33" s="74">
        <v>11590</v>
      </c>
      <c r="AL33" s="74">
        <v>11470</v>
      </c>
      <c r="AM33" s="74">
        <v>11450</v>
      </c>
      <c r="AN33" s="74">
        <v>11370</v>
      </c>
      <c r="AO33" s="74">
        <v>11410</v>
      </c>
      <c r="AP33" s="74">
        <v>11460</v>
      </c>
      <c r="AQ33" s="74">
        <v>11340</v>
      </c>
      <c r="AR33" s="74">
        <v>11350</v>
      </c>
      <c r="AS33" s="74">
        <v>11310</v>
      </c>
      <c r="AT33" s="74">
        <v>11320</v>
      </c>
      <c r="AU33" s="75">
        <v>11330</v>
      </c>
      <c r="AV33" s="75">
        <v>11360</v>
      </c>
      <c r="AW33" s="75">
        <v>11420</v>
      </c>
      <c r="AX33" s="75">
        <v>11390</v>
      </c>
      <c r="AY33" s="75">
        <v>11370</v>
      </c>
      <c r="AZ33" s="75">
        <v>11360</v>
      </c>
      <c r="BA33" s="75">
        <v>11370</v>
      </c>
      <c r="BB33" s="75">
        <v>11430</v>
      </c>
      <c r="BC33" s="75">
        <v>11370</v>
      </c>
      <c r="BD33" s="76">
        <v>11330</v>
      </c>
      <c r="BE33" s="76">
        <v>11240</v>
      </c>
      <c r="BF33" s="76">
        <v>11230</v>
      </c>
      <c r="BG33" s="76">
        <v>11200</v>
      </c>
      <c r="BH33" s="76">
        <v>11330</v>
      </c>
      <c r="BI33" s="76">
        <v>11300</v>
      </c>
      <c r="BJ33" s="74">
        <v>11190</v>
      </c>
      <c r="BK33" s="74">
        <v>11190</v>
      </c>
      <c r="BL33" s="74">
        <v>11130</v>
      </c>
      <c r="BM33" s="76">
        <v>11110</v>
      </c>
      <c r="BN33" s="76">
        <v>11110</v>
      </c>
      <c r="BO33" s="76">
        <v>11020</v>
      </c>
      <c r="BP33" s="76">
        <v>10730</v>
      </c>
      <c r="BQ33" s="76">
        <v>10930</v>
      </c>
      <c r="BR33" s="76">
        <v>10720</v>
      </c>
      <c r="BS33" s="74">
        <v>10810</v>
      </c>
      <c r="BT33" s="74">
        <v>10820</v>
      </c>
      <c r="BU33" s="74">
        <v>10780</v>
      </c>
      <c r="BV33" s="76">
        <v>10720</v>
      </c>
      <c r="BW33" s="76">
        <v>10730</v>
      </c>
      <c r="BX33" s="76">
        <v>10730</v>
      </c>
      <c r="BY33" s="76">
        <v>10680</v>
      </c>
      <c r="BZ33" s="76">
        <v>10690</v>
      </c>
      <c r="CA33" s="76">
        <v>10600</v>
      </c>
      <c r="CB33" s="76">
        <v>10530</v>
      </c>
      <c r="CC33" s="76">
        <v>10520</v>
      </c>
      <c r="CD33" s="76">
        <v>10460</v>
      </c>
      <c r="CE33" s="76">
        <v>10440</v>
      </c>
      <c r="CF33" s="76">
        <v>10460</v>
      </c>
      <c r="CG33" s="76">
        <v>10390</v>
      </c>
      <c r="CH33" s="76">
        <v>10510</v>
      </c>
      <c r="CI33" s="76">
        <v>10510</v>
      </c>
      <c r="CJ33" s="76">
        <v>10450</v>
      </c>
      <c r="CK33" s="76">
        <v>10460</v>
      </c>
      <c r="CL33" s="76">
        <v>10520</v>
      </c>
      <c r="CM33" s="76">
        <v>10540</v>
      </c>
      <c r="CN33" s="76">
        <v>10570</v>
      </c>
      <c r="CO33" s="76">
        <v>10570</v>
      </c>
      <c r="CP33" s="76">
        <v>10550</v>
      </c>
      <c r="CQ33" s="76">
        <v>10530</v>
      </c>
      <c r="CR33" s="76">
        <v>10610</v>
      </c>
      <c r="CS33" s="76">
        <v>10600</v>
      </c>
      <c r="CT33" s="76">
        <v>10620</v>
      </c>
      <c r="CU33" s="76">
        <v>10570</v>
      </c>
      <c r="CV33" s="76">
        <v>10540</v>
      </c>
      <c r="CW33" s="76">
        <v>10470</v>
      </c>
      <c r="CX33" s="76">
        <v>10420</v>
      </c>
      <c r="CY33" s="76">
        <v>10380</v>
      </c>
      <c r="CZ33" s="76">
        <v>10370</v>
      </c>
      <c r="DA33" s="76">
        <v>10320</v>
      </c>
      <c r="DB33" s="76">
        <v>10210</v>
      </c>
      <c r="DC33" s="76">
        <v>10060</v>
      </c>
      <c r="DD33" s="76">
        <v>10110</v>
      </c>
      <c r="DE33" s="76">
        <v>10060</v>
      </c>
      <c r="DF33" s="76">
        <v>10030</v>
      </c>
      <c r="DG33" s="76">
        <v>10030</v>
      </c>
      <c r="DH33" s="76">
        <v>9950</v>
      </c>
      <c r="DI33" s="76">
        <v>9940</v>
      </c>
      <c r="DJ33" s="76">
        <v>9970</v>
      </c>
      <c r="DK33" s="76">
        <v>9960</v>
      </c>
      <c r="DL33" s="75">
        <v>9830</v>
      </c>
      <c r="DM33" s="75">
        <v>9830</v>
      </c>
      <c r="DN33" s="75">
        <v>9800</v>
      </c>
      <c r="DO33" s="75">
        <v>9870</v>
      </c>
      <c r="DP33" s="75">
        <v>9910</v>
      </c>
      <c r="DQ33" s="75">
        <v>9800</v>
      </c>
      <c r="DR33" s="75">
        <v>9900</v>
      </c>
      <c r="DS33" s="75">
        <v>9980</v>
      </c>
      <c r="DT33" s="75">
        <v>9900</v>
      </c>
      <c r="DU33" s="75">
        <v>9920</v>
      </c>
      <c r="DV33" s="137">
        <v>9900</v>
      </c>
      <c r="DW33" s="137">
        <v>9870</v>
      </c>
      <c r="DX33" s="137">
        <v>9890</v>
      </c>
      <c r="DY33" s="137">
        <v>9880</v>
      </c>
      <c r="DZ33" s="137">
        <v>9850</v>
      </c>
      <c r="EA33" s="149">
        <v>9820</v>
      </c>
    </row>
    <row r="34" spans="1:131" s="8" customFormat="1" ht="16" customHeight="1" x14ac:dyDescent="0.25">
      <c r="A34" s="66" t="s">
        <v>27</v>
      </c>
      <c r="B34" s="67">
        <v>34760</v>
      </c>
      <c r="C34" s="67">
        <v>34720</v>
      </c>
      <c r="D34" s="67">
        <v>34630</v>
      </c>
      <c r="E34" s="67">
        <v>34700</v>
      </c>
      <c r="F34" s="67">
        <v>34890</v>
      </c>
      <c r="G34" s="67">
        <v>35010</v>
      </c>
      <c r="H34" s="67">
        <v>34970</v>
      </c>
      <c r="I34" s="67">
        <v>34710</v>
      </c>
      <c r="J34" s="67">
        <v>34650</v>
      </c>
      <c r="K34" s="67">
        <v>34510</v>
      </c>
      <c r="L34" s="67">
        <v>34550</v>
      </c>
      <c r="M34" s="67">
        <v>34590</v>
      </c>
      <c r="N34" s="67">
        <v>34560</v>
      </c>
      <c r="O34" s="67">
        <v>34270</v>
      </c>
      <c r="P34" s="67">
        <v>34280</v>
      </c>
      <c r="Q34" s="67">
        <v>34260</v>
      </c>
      <c r="R34" s="67">
        <v>34120</v>
      </c>
      <c r="S34" s="67">
        <v>33990</v>
      </c>
      <c r="T34" s="67">
        <v>33920</v>
      </c>
      <c r="U34" s="67">
        <v>33700</v>
      </c>
      <c r="V34" s="67">
        <v>33590</v>
      </c>
      <c r="W34" s="67">
        <v>33340</v>
      </c>
      <c r="X34" s="67">
        <v>33500</v>
      </c>
      <c r="Y34" s="67">
        <v>33420</v>
      </c>
      <c r="Z34" s="67">
        <v>33090</v>
      </c>
      <c r="AA34" s="67">
        <v>33030</v>
      </c>
      <c r="AB34" s="67">
        <v>32960</v>
      </c>
      <c r="AC34" s="67">
        <v>33010</v>
      </c>
      <c r="AD34" s="67">
        <v>32850</v>
      </c>
      <c r="AE34" s="67">
        <v>32650</v>
      </c>
      <c r="AF34" s="67">
        <v>32370</v>
      </c>
      <c r="AG34" s="67">
        <v>32110</v>
      </c>
      <c r="AH34" s="67">
        <v>32040</v>
      </c>
      <c r="AI34" s="67">
        <v>31780</v>
      </c>
      <c r="AJ34" s="67">
        <v>31870</v>
      </c>
      <c r="AK34" s="67">
        <v>31890</v>
      </c>
      <c r="AL34" s="67">
        <v>31670</v>
      </c>
      <c r="AM34" s="67">
        <v>31520</v>
      </c>
      <c r="AN34" s="67">
        <v>31490</v>
      </c>
      <c r="AO34" s="67">
        <v>31470</v>
      </c>
      <c r="AP34" s="67">
        <v>31380</v>
      </c>
      <c r="AQ34" s="67">
        <v>31150</v>
      </c>
      <c r="AR34" s="67">
        <v>31000</v>
      </c>
      <c r="AS34" s="67">
        <v>30900</v>
      </c>
      <c r="AT34" s="67">
        <v>30780</v>
      </c>
      <c r="AU34" s="68">
        <v>30640</v>
      </c>
      <c r="AV34" s="68">
        <v>30680</v>
      </c>
      <c r="AW34" s="68">
        <v>30790</v>
      </c>
      <c r="AX34" s="68">
        <v>31000</v>
      </c>
      <c r="AY34" s="68">
        <v>30980</v>
      </c>
      <c r="AZ34" s="68">
        <v>30850</v>
      </c>
      <c r="BA34" s="68">
        <v>30860</v>
      </c>
      <c r="BB34" s="68">
        <v>30870</v>
      </c>
      <c r="BC34" s="68">
        <v>30710</v>
      </c>
      <c r="BD34" s="69">
        <v>30470</v>
      </c>
      <c r="BE34" s="69">
        <v>30260</v>
      </c>
      <c r="BF34" s="69">
        <v>30200</v>
      </c>
      <c r="BG34" s="69">
        <v>30270</v>
      </c>
      <c r="BH34" s="69">
        <v>30450</v>
      </c>
      <c r="BI34" s="69">
        <v>30600</v>
      </c>
      <c r="BJ34" s="67">
        <v>30600</v>
      </c>
      <c r="BK34" s="67">
        <v>30600</v>
      </c>
      <c r="BL34" s="67">
        <v>30490</v>
      </c>
      <c r="BM34" s="69">
        <v>30630</v>
      </c>
      <c r="BN34" s="69">
        <v>30640</v>
      </c>
      <c r="BO34" s="69">
        <v>30400</v>
      </c>
      <c r="BP34" s="69">
        <v>29770</v>
      </c>
      <c r="BQ34" s="69">
        <v>30220</v>
      </c>
      <c r="BR34" s="70">
        <v>29690</v>
      </c>
      <c r="BS34" s="71">
        <v>30250</v>
      </c>
      <c r="BT34" s="72">
        <v>30360</v>
      </c>
      <c r="BU34" s="73">
        <v>30270</v>
      </c>
      <c r="BV34" s="73">
        <v>30230</v>
      </c>
      <c r="BW34" s="73">
        <v>30070</v>
      </c>
      <c r="BX34" s="73">
        <v>30000</v>
      </c>
      <c r="BY34" s="73">
        <v>30170</v>
      </c>
      <c r="BZ34" s="73">
        <v>30130</v>
      </c>
      <c r="CA34" s="73">
        <v>29970</v>
      </c>
      <c r="CB34" s="73">
        <v>29850</v>
      </c>
      <c r="CC34" s="73">
        <v>29750</v>
      </c>
      <c r="CD34" s="73">
        <v>29820</v>
      </c>
      <c r="CE34" s="73">
        <v>29790</v>
      </c>
      <c r="CF34" s="73">
        <v>29860</v>
      </c>
      <c r="CG34" s="73">
        <v>30130</v>
      </c>
      <c r="CH34" s="73">
        <v>31780</v>
      </c>
      <c r="CI34" s="73">
        <v>32010</v>
      </c>
      <c r="CJ34" s="73">
        <v>31970</v>
      </c>
      <c r="CK34" s="73">
        <v>32140</v>
      </c>
      <c r="CL34" s="73">
        <v>32150</v>
      </c>
      <c r="CM34" s="73">
        <v>32110</v>
      </c>
      <c r="CN34" s="73">
        <v>32110</v>
      </c>
      <c r="CO34" s="73">
        <v>32050</v>
      </c>
      <c r="CP34" s="73">
        <v>32030</v>
      </c>
      <c r="CQ34" s="73">
        <v>32020</v>
      </c>
      <c r="CR34" s="73">
        <v>32210</v>
      </c>
      <c r="CS34" s="73">
        <v>32300</v>
      </c>
      <c r="CT34" s="73">
        <v>32200</v>
      </c>
      <c r="CU34" s="73">
        <v>32020</v>
      </c>
      <c r="CV34" s="73">
        <v>31830</v>
      </c>
      <c r="CW34" s="73">
        <v>31750</v>
      </c>
      <c r="CX34" s="73">
        <v>31530</v>
      </c>
      <c r="CY34" s="73">
        <v>31350</v>
      </c>
      <c r="CZ34" s="73">
        <v>31140</v>
      </c>
      <c r="DA34" s="73">
        <v>30940</v>
      </c>
      <c r="DB34" s="73">
        <v>30720</v>
      </c>
      <c r="DC34" s="73">
        <v>30290</v>
      </c>
      <c r="DD34" s="73">
        <v>30420</v>
      </c>
      <c r="DE34" s="73">
        <v>30890</v>
      </c>
      <c r="DF34" s="73">
        <v>31000</v>
      </c>
      <c r="DG34" s="73">
        <v>30880</v>
      </c>
      <c r="DH34" s="73">
        <v>30760</v>
      </c>
      <c r="DI34" s="73">
        <v>30840</v>
      </c>
      <c r="DJ34" s="73">
        <v>30780</v>
      </c>
      <c r="DK34" s="73">
        <v>30740</v>
      </c>
      <c r="DL34" s="68">
        <v>30110</v>
      </c>
      <c r="DM34" s="68">
        <v>30010</v>
      </c>
      <c r="DN34" s="68">
        <v>30010</v>
      </c>
      <c r="DO34" s="68">
        <v>30670</v>
      </c>
      <c r="DP34" s="68">
        <v>30760</v>
      </c>
      <c r="DQ34" s="68">
        <v>30360</v>
      </c>
      <c r="DR34" s="68">
        <v>30360</v>
      </c>
      <c r="DS34" s="68">
        <v>30910</v>
      </c>
      <c r="DT34" s="68">
        <v>30820</v>
      </c>
      <c r="DU34" s="68">
        <v>31150</v>
      </c>
      <c r="DV34" s="68">
        <v>30930</v>
      </c>
      <c r="DW34" s="68">
        <v>30910</v>
      </c>
      <c r="DX34" s="68">
        <v>30940</v>
      </c>
      <c r="DY34" s="68">
        <v>30820</v>
      </c>
      <c r="DZ34" s="68">
        <v>30890</v>
      </c>
      <c r="EA34" s="148">
        <v>30810</v>
      </c>
    </row>
    <row r="35" spans="1:131" s="8" customFormat="1" ht="16" customHeight="1" x14ac:dyDescent="0.25">
      <c r="A35" s="51" t="s">
        <v>28</v>
      </c>
      <c r="B35" s="74">
        <v>6570</v>
      </c>
      <c r="C35" s="74">
        <v>6560</v>
      </c>
      <c r="D35" s="74">
        <v>6560</v>
      </c>
      <c r="E35" s="74">
        <v>6570</v>
      </c>
      <c r="F35" s="74">
        <v>6610</v>
      </c>
      <c r="G35" s="74">
        <v>6580</v>
      </c>
      <c r="H35" s="74">
        <v>6560</v>
      </c>
      <c r="I35" s="74">
        <v>6530</v>
      </c>
      <c r="J35" s="74">
        <v>6550</v>
      </c>
      <c r="K35" s="74">
        <v>6530</v>
      </c>
      <c r="L35" s="74">
        <v>6540</v>
      </c>
      <c r="M35" s="74">
        <v>6470</v>
      </c>
      <c r="N35" s="74">
        <v>6550</v>
      </c>
      <c r="O35" s="74">
        <v>6480</v>
      </c>
      <c r="P35" s="74">
        <v>6440</v>
      </c>
      <c r="Q35" s="74">
        <v>6460</v>
      </c>
      <c r="R35" s="74">
        <v>6410</v>
      </c>
      <c r="S35" s="74">
        <v>6350</v>
      </c>
      <c r="T35" s="74">
        <v>6300</v>
      </c>
      <c r="U35" s="74">
        <v>6270</v>
      </c>
      <c r="V35" s="74">
        <v>6290</v>
      </c>
      <c r="W35" s="74">
        <v>6290</v>
      </c>
      <c r="X35" s="74">
        <v>6270</v>
      </c>
      <c r="Y35" s="74">
        <v>6190</v>
      </c>
      <c r="Z35" s="74">
        <v>6200</v>
      </c>
      <c r="AA35" s="74">
        <v>6160</v>
      </c>
      <c r="AB35" s="74">
        <v>6140</v>
      </c>
      <c r="AC35" s="74">
        <v>6150</v>
      </c>
      <c r="AD35" s="74">
        <v>6160</v>
      </c>
      <c r="AE35" s="74">
        <v>6140</v>
      </c>
      <c r="AF35" s="74">
        <v>6050</v>
      </c>
      <c r="AG35" s="74">
        <v>6010</v>
      </c>
      <c r="AH35" s="74">
        <v>6010</v>
      </c>
      <c r="AI35" s="74">
        <v>6000</v>
      </c>
      <c r="AJ35" s="74">
        <v>5990</v>
      </c>
      <c r="AK35" s="74">
        <v>5940</v>
      </c>
      <c r="AL35" s="74">
        <v>5950</v>
      </c>
      <c r="AM35" s="74">
        <v>5910</v>
      </c>
      <c r="AN35" s="74">
        <v>5880</v>
      </c>
      <c r="AO35" s="74">
        <v>5870</v>
      </c>
      <c r="AP35" s="74">
        <v>5860</v>
      </c>
      <c r="AQ35" s="74">
        <v>5800</v>
      </c>
      <c r="AR35" s="74">
        <v>5750</v>
      </c>
      <c r="AS35" s="74">
        <v>5700</v>
      </c>
      <c r="AT35" s="74">
        <v>5720</v>
      </c>
      <c r="AU35" s="75">
        <v>5740</v>
      </c>
      <c r="AV35" s="75">
        <v>5730</v>
      </c>
      <c r="AW35" s="75">
        <v>5670</v>
      </c>
      <c r="AX35" s="75">
        <v>5730</v>
      </c>
      <c r="AY35" s="75">
        <v>5760</v>
      </c>
      <c r="AZ35" s="75">
        <v>5730</v>
      </c>
      <c r="BA35" s="75">
        <v>5740</v>
      </c>
      <c r="BB35" s="75">
        <v>5750</v>
      </c>
      <c r="BC35" s="75">
        <v>5700</v>
      </c>
      <c r="BD35" s="76">
        <v>5660</v>
      </c>
      <c r="BE35" s="76">
        <v>5610</v>
      </c>
      <c r="BF35" s="76">
        <v>5600</v>
      </c>
      <c r="BG35" s="76">
        <v>5610</v>
      </c>
      <c r="BH35" s="76">
        <v>5610</v>
      </c>
      <c r="BI35" s="76">
        <v>5600</v>
      </c>
      <c r="BJ35" s="74">
        <v>5550</v>
      </c>
      <c r="BK35" s="74">
        <v>5540</v>
      </c>
      <c r="BL35" s="74">
        <v>5560</v>
      </c>
      <c r="BM35" s="76">
        <v>5570</v>
      </c>
      <c r="BN35" s="76">
        <v>5600</v>
      </c>
      <c r="BO35" s="76">
        <v>5590</v>
      </c>
      <c r="BP35" s="76">
        <v>5450</v>
      </c>
      <c r="BQ35" s="76">
        <v>5500</v>
      </c>
      <c r="BR35" s="76">
        <v>5450</v>
      </c>
      <c r="BS35" s="74">
        <v>5490</v>
      </c>
      <c r="BT35" s="74">
        <v>5490</v>
      </c>
      <c r="BU35" s="74">
        <v>5470</v>
      </c>
      <c r="BV35" s="76">
        <v>5460</v>
      </c>
      <c r="BW35" s="76">
        <v>5450</v>
      </c>
      <c r="BX35" s="76">
        <v>5450</v>
      </c>
      <c r="BY35" s="76">
        <v>5460</v>
      </c>
      <c r="BZ35" s="76">
        <v>5460</v>
      </c>
      <c r="CA35" s="76">
        <v>5440</v>
      </c>
      <c r="CB35" s="76">
        <v>5450</v>
      </c>
      <c r="CC35" s="76">
        <v>5420</v>
      </c>
      <c r="CD35" s="76">
        <v>5420</v>
      </c>
      <c r="CE35" s="76">
        <v>5420</v>
      </c>
      <c r="CF35" s="76">
        <v>5420</v>
      </c>
      <c r="CG35" s="76">
        <v>5420</v>
      </c>
      <c r="CH35" s="76">
        <v>5550</v>
      </c>
      <c r="CI35" s="76">
        <v>5650</v>
      </c>
      <c r="CJ35" s="76">
        <v>5650</v>
      </c>
      <c r="CK35" s="76">
        <v>5640</v>
      </c>
      <c r="CL35" s="76">
        <v>5720</v>
      </c>
      <c r="CM35" s="76">
        <v>5660</v>
      </c>
      <c r="CN35" s="76">
        <v>5630</v>
      </c>
      <c r="CO35" s="76">
        <v>5630</v>
      </c>
      <c r="CP35" s="76">
        <v>5620</v>
      </c>
      <c r="CQ35" s="76">
        <v>5600</v>
      </c>
      <c r="CR35" s="76">
        <v>5600</v>
      </c>
      <c r="CS35" s="76">
        <v>5590</v>
      </c>
      <c r="CT35" s="76">
        <v>5600</v>
      </c>
      <c r="CU35" s="76">
        <v>5610</v>
      </c>
      <c r="CV35" s="76">
        <v>5560</v>
      </c>
      <c r="CW35" s="76">
        <v>5480</v>
      </c>
      <c r="CX35" s="76">
        <v>5470</v>
      </c>
      <c r="CY35" s="76">
        <v>5490</v>
      </c>
      <c r="CZ35" s="76">
        <v>5500</v>
      </c>
      <c r="DA35" s="76">
        <v>5470</v>
      </c>
      <c r="DB35" s="76">
        <v>5440</v>
      </c>
      <c r="DC35" s="76">
        <v>5390</v>
      </c>
      <c r="DD35" s="76">
        <v>5370</v>
      </c>
      <c r="DE35" s="76">
        <v>5300</v>
      </c>
      <c r="DF35" s="76">
        <v>5310</v>
      </c>
      <c r="DG35" s="76">
        <v>5310</v>
      </c>
      <c r="DH35" s="76">
        <v>5310</v>
      </c>
      <c r="DI35" s="76">
        <v>5320</v>
      </c>
      <c r="DJ35" s="76">
        <v>5370</v>
      </c>
      <c r="DK35" s="76">
        <v>5370</v>
      </c>
      <c r="DL35" s="75">
        <v>5200</v>
      </c>
      <c r="DM35" s="75">
        <v>5260</v>
      </c>
      <c r="DN35" s="75">
        <v>5260</v>
      </c>
      <c r="DO35" s="75">
        <v>5280</v>
      </c>
      <c r="DP35" s="75">
        <v>5290</v>
      </c>
      <c r="DQ35" s="75">
        <v>5220</v>
      </c>
      <c r="DR35" s="75">
        <v>5370</v>
      </c>
      <c r="DS35" s="75">
        <v>5470</v>
      </c>
      <c r="DT35" s="75">
        <v>5450</v>
      </c>
      <c r="DU35" s="75">
        <v>5460</v>
      </c>
      <c r="DV35" s="137">
        <v>5470</v>
      </c>
      <c r="DW35" s="137">
        <v>5470</v>
      </c>
      <c r="DX35" s="137">
        <v>5470</v>
      </c>
      <c r="DY35" s="137">
        <v>5450</v>
      </c>
      <c r="DZ35" s="137">
        <v>5450</v>
      </c>
      <c r="EA35" s="149">
        <v>5430</v>
      </c>
    </row>
    <row r="36" spans="1:131" s="8" customFormat="1" ht="16" customHeight="1" x14ac:dyDescent="0.25">
      <c r="A36" s="66" t="s">
        <v>29</v>
      </c>
      <c r="B36" s="67">
        <v>14290</v>
      </c>
      <c r="C36" s="67">
        <v>14260</v>
      </c>
      <c r="D36" s="67">
        <v>14200</v>
      </c>
      <c r="E36" s="67">
        <v>14210</v>
      </c>
      <c r="F36" s="67">
        <v>14220</v>
      </c>
      <c r="G36" s="67">
        <v>14080</v>
      </c>
      <c r="H36" s="67">
        <v>14140</v>
      </c>
      <c r="I36" s="67">
        <v>14160</v>
      </c>
      <c r="J36" s="67">
        <v>14040</v>
      </c>
      <c r="K36" s="67">
        <v>13990</v>
      </c>
      <c r="L36" s="67">
        <v>14180</v>
      </c>
      <c r="M36" s="67">
        <v>14120</v>
      </c>
      <c r="N36" s="67">
        <v>14060</v>
      </c>
      <c r="O36" s="67">
        <v>14040</v>
      </c>
      <c r="P36" s="67">
        <v>14020</v>
      </c>
      <c r="Q36" s="67">
        <v>14040</v>
      </c>
      <c r="R36" s="67">
        <v>14020</v>
      </c>
      <c r="S36" s="67">
        <v>13780</v>
      </c>
      <c r="T36" s="67">
        <v>13890</v>
      </c>
      <c r="U36" s="67">
        <v>13840</v>
      </c>
      <c r="V36" s="67">
        <v>13760</v>
      </c>
      <c r="W36" s="67">
        <v>13610</v>
      </c>
      <c r="X36" s="67">
        <v>13790</v>
      </c>
      <c r="Y36" s="67">
        <v>13570</v>
      </c>
      <c r="Z36" s="67">
        <v>13370</v>
      </c>
      <c r="AA36" s="67">
        <v>13450</v>
      </c>
      <c r="AB36" s="67">
        <v>13310</v>
      </c>
      <c r="AC36" s="67">
        <v>13230</v>
      </c>
      <c r="AD36" s="67">
        <v>13260</v>
      </c>
      <c r="AE36" s="67">
        <v>13090</v>
      </c>
      <c r="AF36" s="67">
        <v>13070</v>
      </c>
      <c r="AG36" s="67">
        <v>12960</v>
      </c>
      <c r="AH36" s="67">
        <v>12930</v>
      </c>
      <c r="AI36" s="67">
        <v>12920</v>
      </c>
      <c r="AJ36" s="67">
        <v>12940</v>
      </c>
      <c r="AK36" s="67">
        <v>12990</v>
      </c>
      <c r="AL36" s="67">
        <v>12870</v>
      </c>
      <c r="AM36" s="67">
        <v>12900</v>
      </c>
      <c r="AN36" s="67">
        <v>12850</v>
      </c>
      <c r="AO36" s="67">
        <v>12930</v>
      </c>
      <c r="AP36" s="67">
        <v>12940</v>
      </c>
      <c r="AQ36" s="67">
        <v>12850</v>
      </c>
      <c r="AR36" s="67">
        <v>12830</v>
      </c>
      <c r="AS36" s="67">
        <v>12770</v>
      </c>
      <c r="AT36" s="67">
        <v>12720</v>
      </c>
      <c r="AU36" s="68">
        <v>12640</v>
      </c>
      <c r="AV36" s="68">
        <v>12600</v>
      </c>
      <c r="AW36" s="68">
        <v>12680</v>
      </c>
      <c r="AX36" s="68">
        <v>12640</v>
      </c>
      <c r="AY36" s="68">
        <v>12660</v>
      </c>
      <c r="AZ36" s="68">
        <v>12560</v>
      </c>
      <c r="BA36" s="68">
        <v>12490</v>
      </c>
      <c r="BB36" s="68">
        <v>12640</v>
      </c>
      <c r="BC36" s="68">
        <v>12580</v>
      </c>
      <c r="BD36" s="69">
        <v>12570</v>
      </c>
      <c r="BE36" s="69">
        <v>12520</v>
      </c>
      <c r="BF36" s="69">
        <v>12440</v>
      </c>
      <c r="BG36" s="69">
        <v>12360</v>
      </c>
      <c r="BH36" s="69">
        <v>12280</v>
      </c>
      <c r="BI36" s="69">
        <v>12340</v>
      </c>
      <c r="BJ36" s="67">
        <v>12180</v>
      </c>
      <c r="BK36" s="67">
        <v>12280</v>
      </c>
      <c r="BL36" s="67">
        <v>12300</v>
      </c>
      <c r="BM36" s="69">
        <v>12310</v>
      </c>
      <c r="BN36" s="69">
        <v>12340</v>
      </c>
      <c r="BO36" s="69">
        <v>12230</v>
      </c>
      <c r="BP36" s="69">
        <v>11890</v>
      </c>
      <c r="BQ36" s="69">
        <v>12140</v>
      </c>
      <c r="BR36" s="70">
        <v>12010</v>
      </c>
      <c r="BS36" s="71">
        <v>11900</v>
      </c>
      <c r="BT36" s="72">
        <v>11810</v>
      </c>
      <c r="BU36" s="73">
        <v>11800</v>
      </c>
      <c r="BV36" s="73">
        <v>11610</v>
      </c>
      <c r="BW36" s="73">
        <v>11650</v>
      </c>
      <c r="BX36" s="73">
        <v>11670</v>
      </c>
      <c r="BY36" s="73">
        <v>11590</v>
      </c>
      <c r="BZ36" s="73">
        <v>11540</v>
      </c>
      <c r="CA36" s="73">
        <v>11500</v>
      </c>
      <c r="CB36" s="73">
        <v>11480</v>
      </c>
      <c r="CC36" s="73">
        <v>11390</v>
      </c>
      <c r="CD36" s="73">
        <v>11330</v>
      </c>
      <c r="CE36" s="73">
        <v>11310</v>
      </c>
      <c r="CF36" s="73">
        <v>11300</v>
      </c>
      <c r="CG36" s="73">
        <v>11370</v>
      </c>
      <c r="CH36" s="73">
        <v>11240</v>
      </c>
      <c r="CI36" s="73">
        <v>11340</v>
      </c>
      <c r="CJ36" s="73">
        <v>11360</v>
      </c>
      <c r="CK36" s="73">
        <v>11350</v>
      </c>
      <c r="CL36" s="73">
        <v>11340</v>
      </c>
      <c r="CM36" s="73">
        <v>11410</v>
      </c>
      <c r="CN36" s="73">
        <v>11390</v>
      </c>
      <c r="CO36" s="73">
        <v>11390</v>
      </c>
      <c r="CP36" s="73">
        <v>11340</v>
      </c>
      <c r="CQ36" s="73">
        <v>11330</v>
      </c>
      <c r="CR36" s="73">
        <v>11220</v>
      </c>
      <c r="CS36" s="73">
        <v>11190</v>
      </c>
      <c r="CT36" s="73">
        <v>11100</v>
      </c>
      <c r="CU36" s="73">
        <v>11170</v>
      </c>
      <c r="CV36" s="73">
        <v>11280</v>
      </c>
      <c r="CW36" s="73">
        <v>11230</v>
      </c>
      <c r="CX36" s="73">
        <v>11180</v>
      </c>
      <c r="CY36" s="73">
        <v>11130</v>
      </c>
      <c r="CZ36" s="73">
        <v>11090</v>
      </c>
      <c r="DA36" s="73">
        <v>11080</v>
      </c>
      <c r="DB36" s="73">
        <v>11090</v>
      </c>
      <c r="DC36" s="73">
        <v>10980</v>
      </c>
      <c r="DD36" s="73">
        <v>10890</v>
      </c>
      <c r="DE36" s="73">
        <v>10930</v>
      </c>
      <c r="DF36" s="73">
        <v>10660</v>
      </c>
      <c r="DG36" s="73">
        <v>10710</v>
      </c>
      <c r="DH36" s="73">
        <v>10770</v>
      </c>
      <c r="DI36" s="73">
        <v>10750</v>
      </c>
      <c r="DJ36" s="73">
        <v>10730</v>
      </c>
      <c r="DK36" s="73">
        <v>10790</v>
      </c>
      <c r="DL36" s="68">
        <v>10740</v>
      </c>
      <c r="DM36" s="68">
        <v>10780</v>
      </c>
      <c r="DN36" s="68">
        <v>10720</v>
      </c>
      <c r="DO36" s="68">
        <v>10680</v>
      </c>
      <c r="DP36" s="68">
        <v>10620</v>
      </c>
      <c r="DQ36" s="68">
        <v>10530</v>
      </c>
      <c r="DR36" s="68">
        <v>9230</v>
      </c>
      <c r="DS36" s="68">
        <v>9540</v>
      </c>
      <c r="DT36" s="68">
        <v>9600</v>
      </c>
      <c r="DU36" s="68">
        <v>9870</v>
      </c>
      <c r="DV36" s="68">
        <v>10090</v>
      </c>
      <c r="DW36" s="68">
        <v>10280</v>
      </c>
      <c r="DX36" s="68">
        <v>10620</v>
      </c>
      <c r="DY36" s="68">
        <v>10730</v>
      </c>
      <c r="DZ36" s="68">
        <v>10630</v>
      </c>
      <c r="EA36" s="148">
        <v>10480</v>
      </c>
    </row>
    <row r="37" spans="1:131" s="8" customFormat="1" ht="16" customHeight="1" thickBot="1" x14ac:dyDescent="0.3">
      <c r="A37" s="77" t="s">
        <v>30</v>
      </c>
      <c r="B37" s="78">
        <v>17120</v>
      </c>
      <c r="C37" s="78">
        <v>17100</v>
      </c>
      <c r="D37" s="78">
        <v>17100</v>
      </c>
      <c r="E37" s="78">
        <v>17140</v>
      </c>
      <c r="F37" s="78">
        <v>16900</v>
      </c>
      <c r="G37" s="78">
        <v>16770</v>
      </c>
      <c r="H37" s="78">
        <v>16730</v>
      </c>
      <c r="I37" s="78">
        <v>16690</v>
      </c>
      <c r="J37" s="78">
        <v>16710</v>
      </c>
      <c r="K37" s="78">
        <v>16720</v>
      </c>
      <c r="L37" s="78">
        <v>16750</v>
      </c>
      <c r="M37" s="78">
        <v>16830</v>
      </c>
      <c r="N37" s="78">
        <v>16890</v>
      </c>
      <c r="O37" s="78">
        <v>16590</v>
      </c>
      <c r="P37" s="78">
        <v>16600</v>
      </c>
      <c r="Q37" s="78">
        <v>16590</v>
      </c>
      <c r="R37" s="78">
        <v>16620</v>
      </c>
      <c r="S37" s="78">
        <v>16470</v>
      </c>
      <c r="T37" s="78">
        <v>16360</v>
      </c>
      <c r="U37" s="78">
        <v>16300</v>
      </c>
      <c r="V37" s="78">
        <v>16400</v>
      </c>
      <c r="W37" s="78">
        <v>16420</v>
      </c>
      <c r="X37" s="78">
        <v>16310</v>
      </c>
      <c r="Y37" s="78">
        <v>16290</v>
      </c>
      <c r="Z37" s="78">
        <v>16190</v>
      </c>
      <c r="AA37" s="78">
        <v>16080</v>
      </c>
      <c r="AB37" s="78">
        <v>15840</v>
      </c>
      <c r="AC37" s="78">
        <v>15960</v>
      </c>
      <c r="AD37" s="78">
        <v>15900</v>
      </c>
      <c r="AE37" s="78">
        <v>15810</v>
      </c>
      <c r="AF37" s="78">
        <v>15720</v>
      </c>
      <c r="AG37" s="78">
        <v>15650</v>
      </c>
      <c r="AH37" s="78">
        <v>15630</v>
      </c>
      <c r="AI37" s="78">
        <v>15620</v>
      </c>
      <c r="AJ37" s="78">
        <v>15580</v>
      </c>
      <c r="AK37" s="78">
        <v>15670</v>
      </c>
      <c r="AL37" s="78">
        <v>15450</v>
      </c>
      <c r="AM37" s="78">
        <v>15520</v>
      </c>
      <c r="AN37" s="78">
        <v>15440</v>
      </c>
      <c r="AO37" s="78">
        <v>15390</v>
      </c>
      <c r="AP37" s="78">
        <v>15460</v>
      </c>
      <c r="AQ37" s="78">
        <v>15420</v>
      </c>
      <c r="AR37" s="78">
        <v>15390</v>
      </c>
      <c r="AS37" s="78">
        <v>15220</v>
      </c>
      <c r="AT37" s="78">
        <v>15110</v>
      </c>
      <c r="AU37" s="79">
        <v>14990</v>
      </c>
      <c r="AV37" s="79">
        <v>15110</v>
      </c>
      <c r="AW37" s="79">
        <v>15160</v>
      </c>
      <c r="AX37" s="79">
        <v>15080</v>
      </c>
      <c r="AY37" s="79">
        <v>15130</v>
      </c>
      <c r="AZ37" s="79">
        <v>15090</v>
      </c>
      <c r="BA37" s="79">
        <v>15150</v>
      </c>
      <c r="BB37" s="79">
        <v>15310</v>
      </c>
      <c r="BC37" s="79">
        <v>15120</v>
      </c>
      <c r="BD37" s="80">
        <v>14990</v>
      </c>
      <c r="BE37" s="80">
        <v>14920</v>
      </c>
      <c r="BF37" s="80">
        <v>14860</v>
      </c>
      <c r="BG37" s="80">
        <v>14760</v>
      </c>
      <c r="BH37" s="80">
        <v>14860</v>
      </c>
      <c r="BI37" s="80">
        <v>14900</v>
      </c>
      <c r="BJ37" s="78">
        <v>14770</v>
      </c>
      <c r="BK37" s="78">
        <v>14800</v>
      </c>
      <c r="BL37" s="78">
        <v>14830</v>
      </c>
      <c r="BM37" s="80">
        <v>14910</v>
      </c>
      <c r="BN37" s="80">
        <v>14930</v>
      </c>
      <c r="BO37" s="80">
        <v>14900</v>
      </c>
      <c r="BP37" s="80">
        <v>14570</v>
      </c>
      <c r="BQ37" s="80">
        <v>14800</v>
      </c>
      <c r="BR37" s="80">
        <v>14700</v>
      </c>
      <c r="BS37" s="78">
        <v>14750</v>
      </c>
      <c r="BT37" s="78">
        <v>14870</v>
      </c>
      <c r="BU37" s="78">
        <v>15010</v>
      </c>
      <c r="BV37" s="80">
        <v>14910</v>
      </c>
      <c r="BW37" s="80">
        <v>14730</v>
      </c>
      <c r="BX37" s="80">
        <v>14710</v>
      </c>
      <c r="BY37" s="80">
        <v>14680</v>
      </c>
      <c r="BZ37" s="80">
        <v>14680</v>
      </c>
      <c r="CA37" s="80">
        <v>14630</v>
      </c>
      <c r="CB37" s="80">
        <v>14620</v>
      </c>
      <c r="CC37" s="80">
        <v>14660</v>
      </c>
      <c r="CD37" s="80">
        <v>14730</v>
      </c>
      <c r="CE37" s="80">
        <v>14630</v>
      </c>
      <c r="CF37" s="80">
        <v>14700</v>
      </c>
      <c r="CG37" s="80">
        <v>14760</v>
      </c>
      <c r="CH37" s="80">
        <v>15850</v>
      </c>
      <c r="CI37" s="80">
        <v>15670</v>
      </c>
      <c r="CJ37" s="80">
        <v>15510</v>
      </c>
      <c r="CK37" s="80">
        <v>15620</v>
      </c>
      <c r="CL37" s="80">
        <v>15730</v>
      </c>
      <c r="CM37" s="80">
        <v>15650</v>
      </c>
      <c r="CN37" s="80">
        <v>15660</v>
      </c>
      <c r="CO37" s="80">
        <v>15740</v>
      </c>
      <c r="CP37" s="80">
        <v>15820</v>
      </c>
      <c r="CQ37" s="80">
        <v>15230</v>
      </c>
      <c r="CR37" s="80">
        <v>15150</v>
      </c>
      <c r="CS37" s="80">
        <v>15160</v>
      </c>
      <c r="CT37" s="80">
        <v>15060</v>
      </c>
      <c r="CU37" s="80">
        <v>15000</v>
      </c>
      <c r="CV37" s="80">
        <v>14990</v>
      </c>
      <c r="CW37" s="80">
        <v>14750</v>
      </c>
      <c r="CX37" s="80">
        <v>14660</v>
      </c>
      <c r="CY37" s="80">
        <v>14520</v>
      </c>
      <c r="CZ37" s="80">
        <v>14380</v>
      </c>
      <c r="DA37" s="80">
        <v>14280</v>
      </c>
      <c r="DB37" s="80">
        <v>14150</v>
      </c>
      <c r="DC37" s="80">
        <v>13940</v>
      </c>
      <c r="DD37" s="80">
        <v>13870</v>
      </c>
      <c r="DE37" s="80">
        <v>13970</v>
      </c>
      <c r="DF37" s="80">
        <v>13910</v>
      </c>
      <c r="DG37" s="80">
        <v>13910</v>
      </c>
      <c r="DH37" s="80">
        <v>13920</v>
      </c>
      <c r="DI37" s="80">
        <v>13920</v>
      </c>
      <c r="DJ37" s="80">
        <v>13960</v>
      </c>
      <c r="DK37" s="80">
        <v>13950</v>
      </c>
      <c r="DL37" s="129">
        <v>13860</v>
      </c>
      <c r="DM37" s="129">
        <v>13890</v>
      </c>
      <c r="DN37" s="129">
        <v>13920</v>
      </c>
      <c r="DO37" s="129">
        <v>14140</v>
      </c>
      <c r="DP37" s="129">
        <v>14120</v>
      </c>
      <c r="DQ37" s="129">
        <v>14060</v>
      </c>
      <c r="DR37" s="129">
        <v>14060</v>
      </c>
      <c r="DS37" s="129">
        <v>14270</v>
      </c>
      <c r="DT37" s="129">
        <v>14350</v>
      </c>
      <c r="DU37" s="129">
        <v>14450</v>
      </c>
      <c r="DV37" s="138">
        <v>14340</v>
      </c>
      <c r="DW37" s="138">
        <v>14340</v>
      </c>
      <c r="DX37" s="138">
        <v>14340</v>
      </c>
      <c r="DY37" s="138">
        <v>14340</v>
      </c>
      <c r="DZ37" s="153">
        <v>14430</v>
      </c>
      <c r="EA37" s="150">
        <v>14560</v>
      </c>
    </row>
    <row r="38" spans="1:131" x14ac:dyDescent="0.25">
      <c r="A38" s="1" t="s">
        <v>121</v>
      </c>
    </row>
    <row r="39" spans="1:131" ht="13" x14ac:dyDescent="0.25">
      <c r="A39" s="6"/>
      <c r="B39" s="2"/>
    </row>
    <row r="41" spans="1:131" x14ac:dyDescent="0.25">
      <c r="A41" s="3"/>
    </row>
    <row r="42" spans="1:131" x14ac:dyDescent="0.25">
      <c r="A42" s="4"/>
    </row>
  </sheetData>
  <sortState xmlns:xlrd2="http://schemas.microsoft.com/office/spreadsheetml/2017/richdata2" ref="A5:BU36">
    <sortCondition ref="A5:A36"/>
  </sortState>
  <hyperlinks>
    <hyperlink ref="DY1" location="Contents!A1" display="Return to Contents" xr:uid="{EEF4CC24-6023-4A1E-9B3B-6B3CD28B742B}"/>
  </hyperlinks>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060"/>
  </sheetPr>
  <dimension ref="A1:EA46"/>
  <sheetViews>
    <sheetView topLeftCell="DV1" zoomScaleNormal="100" workbookViewId="0">
      <selection activeCell="EA6" sqref="EA6:EA37"/>
    </sheetView>
  </sheetViews>
  <sheetFormatPr defaultColWidth="12.81640625" defaultRowHeight="12.5" x14ac:dyDescent="0.25"/>
  <cols>
    <col min="1" max="1" width="24.1796875" style="1" customWidth="1"/>
    <col min="2" max="64" width="12.81640625" style="1" customWidth="1"/>
    <col min="65" max="88" width="12.81640625" style="1"/>
    <col min="89" max="89" width="12.81640625" style="1" customWidth="1"/>
    <col min="90" max="106" width="12.81640625" style="1"/>
    <col min="107" max="116" width="12.81640625" style="1" customWidth="1"/>
    <col min="117" max="123" width="12.81640625" style="1"/>
    <col min="124" max="124" width="15.26953125" style="1" bestFit="1" customWidth="1"/>
    <col min="125" max="16384" width="12.81640625" style="1"/>
  </cols>
  <sheetData>
    <row r="1" spans="1:131" ht="15.5" x14ac:dyDescent="0.35">
      <c r="A1" s="23" t="s">
        <v>124</v>
      </c>
      <c r="DH1" s="58"/>
      <c r="DI1" s="58"/>
      <c r="DJ1" s="58"/>
      <c r="DO1" s="58"/>
      <c r="DQ1" s="58"/>
      <c r="DR1" s="58"/>
      <c r="DY1" s="58" t="s">
        <v>66</v>
      </c>
    </row>
    <row r="2" spans="1:131" ht="15.5" x14ac:dyDescent="0.35">
      <c r="A2" s="23" t="s">
        <v>97</v>
      </c>
    </row>
    <row r="3" spans="1:131" ht="15.75" customHeight="1" x14ac:dyDescent="0.25"/>
    <row r="4" spans="1:131" ht="35.15" customHeight="1" x14ac:dyDescent="0.25">
      <c r="A4" s="81" t="s">
        <v>37</v>
      </c>
      <c r="B4" s="59">
        <v>41365</v>
      </c>
      <c r="C4" s="59">
        <v>41395</v>
      </c>
      <c r="D4" s="59">
        <v>41426</v>
      </c>
      <c r="E4" s="59">
        <v>41456</v>
      </c>
      <c r="F4" s="59">
        <v>41487</v>
      </c>
      <c r="G4" s="59">
        <v>41518</v>
      </c>
      <c r="H4" s="59">
        <v>41548</v>
      </c>
      <c r="I4" s="59">
        <v>41579</v>
      </c>
      <c r="J4" s="59">
        <v>41609</v>
      </c>
      <c r="K4" s="59">
        <v>41640</v>
      </c>
      <c r="L4" s="59">
        <v>41671</v>
      </c>
      <c r="M4" s="59">
        <v>41699</v>
      </c>
      <c r="N4" s="59">
        <v>41730</v>
      </c>
      <c r="O4" s="59">
        <v>41760</v>
      </c>
      <c r="P4" s="59">
        <v>41791</v>
      </c>
      <c r="Q4" s="59">
        <v>41821</v>
      </c>
      <c r="R4" s="59">
        <v>41852</v>
      </c>
      <c r="S4" s="59">
        <v>41883</v>
      </c>
      <c r="T4" s="59">
        <v>41913</v>
      </c>
      <c r="U4" s="59">
        <v>41944</v>
      </c>
      <c r="V4" s="59">
        <v>41974</v>
      </c>
      <c r="W4" s="59">
        <v>42005</v>
      </c>
      <c r="X4" s="59">
        <v>42036</v>
      </c>
      <c r="Y4" s="59">
        <v>42064</v>
      </c>
      <c r="Z4" s="59">
        <v>42095</v>
      </c>
      <c r="AA4" s="59">
        <v>42125</v>
      </c>
      <c r="AB4" s="59">
        <v>42156</v>
      </c>
      <c r="AC4" s="59">
        <v>42186</v>
      </c>
      <c r="AD4" s="59">
        <v>42217</v>
      </c>
      <c r="AE4" s="59">
        <v>42248</v>
      </c>
      <c r="AF4" s="59">
        <v>42278</v>
      </c>
      <c r="AG4" s="59">
        <v>42309</v>
      </c>
      <c r="AH4" s="59">
        <v>42339</v>
      </c>
      <c r="AI4" s="59">
        <v>42370</v>
      </c>
      <c r="AJ4" s="59">
        <v>42401</v>
      </c>
      <c r="AK4" s="59">
        <v>42430</v>
      </c>
      <c r="AL4" s="59">
        <v>42461</v>
      </c>
      <c r="AM4" s="59">
        <v>42491</v>
      </c>
      <c r="AN4" s="59">
        <v>42522</v>
      </c>
      <c r="AO4" s="59">
        <v>42552</v>
      </c>
      <c r="AP4" s="59">
        <v>42583</v>
      </c>
      <c r="AQ4" s="59">
        <v>42614</v>
      </c>
      <c r="AR4" s="59">
        <v>42644</v>
      </c>
      <c r="AS4" s="59">
        <v>42675</v>
      </c>
      <c r="AT4" s="59">
        <v>42705</v>
      </c>
      <c r="AU4" s="59">
        <v>42736</v>
      </c>
      <c r="AV4" s="59">
        <v>42767</v>
      </c>
      <c r="AW4" s="59">
        <v>42795</v>
      </c>
      <c r="AX4" s="59">
        <v>42826</v>
      </c>
      <c r="AY4" s="59">
        <v>42856</v>
      </c>
      <c r="AZ4" s="59">
        <v>42887</v>
      </c>
      <c r="BA4" s="59">
        <v>42917</v>
      </c>
      <c r="BB4" s="59">
        <v>42948</v>
      </c>
      <c r="BC4" s="59">
        <v>42979</v>
      </c>
      <c r="BD4" s="59">
        <v>43009</v>
      </c>
      <c r="BE4" s="59">
        <v>43040</v>
      </c>
      <c r="BF4" s="59">
        <v>43070</v>
      </c>
      <c r="BG4" s="59">
        <v>43101</v>
      </c>
      <c r="BH4" s="59">
        <v>43132</v>
      </c>
      <c r="BI4" s="59">
        <v>43160</v>
      </c>
      <c r="BJ4" s="59">
        <v>43191</v>
      </c>
      <c r="BK4" s="59">
        <v>43221</v>
      </c>
      <c r="BL4" s="59">
        <v>43252</v>
      </c>
      <c r="BM4" s="59">
        <v>43282</v>
      </c>
      <c r="BN4" s="59">
        <v>43313</v>
      </c>
      <c r="BO4" s="59">
        <v>43344</v>
      </c>
      <c r="BP4" s="59">
        <v>43374</v>
      </c>
      <c r="BQ4" s="59">
        <v>43405</v>
      </c>
      <c r="BR4" s="59">
        <v>43435</v>
      </c>
      <c r="BS4" s="59">
        <v>43466</v>
      </c>
      <c r="BT4" s="59">
        <v>43497</v>
      </c>
      <c r="BU4" s="59">
        <v>43525</v>
      </c>
      <c r="BV4" s="59">
        <v>43556</v>
      </c>
      <c r="BW4" s="59">
        <v>43586</v>
      </c>
      <c r="BX4" s="59">
        <v>43617</v>
      </c>
      <c r="BY4" s="59">
        <v>43647</v>
      </c>
      <c r="BZ4" s="59">
        <v>43678</v>
      </c>
      <c r="CA4" s="59">
        <v>43709</v>
      </c>
      <c r="CB4" s="59">
        <v>43739</v>
      </c>
      <c r="CC4" s="59">
        <v>43770</v>
      </c>
      <c r="CD4" s="59">
        <v>43800</v>
      </c>
      <c r="CE4" s="59">
        <v>43831</v>
      </c>
      <c r="CF4" s="59">
        <v>43862</v>
      </c>
      <c r="CG4" s="59">
        <v>43891</v>
      </c>
      <c r="CH4" s="59">
        <v>43922</v>
      </c>
      <c r="CI4" s="59">
        <v>43952</v>
      </c>
      <c r="CJ4" s="59">
        <v>43983</v>
      </c>
      <c r="CK4" s="59">
        <v>44013</v>
      </c>
      <c r="CL4" s="59">
        <v>44044</v>
      </c>
      <c r="CM4" s="59">
        <v>44075</v>
      </c>
      <c r="CN4" s="59">
        <v>44105</v>
      </c>
      <c r="CO4" s="59">
        <v>44136</v>
      </c>
      <c r="CP4" s="59">
        <v>44166</v>
      </c>
      <c r="CQ4" s="59">
        <v>44197</v>
      </c>
      <c r="CR4" s="59">
        <v>44228</v>
      </c>
      <c r="CS4" s="59">
        <v>44256</v>
      </c>
      <c r="CT4" s="59">
        <v>44287</v>
      </c>
      <c r="CU4" s="59">
        <v>44317</v>
      </c>
      <c r="CV4" s="59">
        <v>44348</v>
      </c>
      <c r="CW4" s="59">
        <v>44378</v>
      </c>
      <c r="CX4" s="59">
        <v>44409</v>
      </c>
      <c r="CY4" s="59">
        <v>44440</v>
      </c>
      <c r="CZ4" s="59">
        <v>44470</v>
      </c>
      <c r="DA4" s="59">
        <v>44501</v>
      </c>
      <c r="DB4" s="59">
        <v>44531</v>
      </c>
      <c r="DC4" s="59">
        <v>44562</v>
      </c>
      <c r="DD4" s="59">
        <v>44593</v>
      </c>
      <c r="DE4" s="59">
        <v>44621</v>
      </c>
      <c r="DF4" s="59">
        <v>44652</v>
      </c>
      <c r="DG4" s="59">
        <v>44682</v>
      </c>
      <c r="DH4" s="59">
        <v>44713</v>
      </c>
      <c r="DI4" s="59">
        <v>44743</v>
      </c>
      <c r="DJ4" s="59">
        <v>44774</v>
      </c>
      <c r="DK4" s="59">
        <v>44805</v>
      </c>
      <c r="DL4" s="59">
        <v>44835</v>
      </c>
      <c r="DM4" s="59">
        <v>44866</v>
      </c>
      <c r="DN4" s="59">
        <v>44896</v>
      </c>
      <c r="DO4" s="130">
        <v>44927</v>
      </c>
      <c r="DP4" s="130">
        <v>44958</v>
      </c>
      <c r="DQ4" s="130">
        <v>44986</v>
      </c>
      <c r="DR4" s="130">
        <v>45017</v>
      </c>
      <c r="DS4" s="130">
        <v>45047</v>
      </c>
      <c r="DT4" s="130">
        <v>45078</v>
      </c>
      <c r="DU4" s="130">
        <v>45108</v>
      </c>
      <c r="DV4" s="130">
        <v>45139</v>
      </c>
      <c r="DW4" s="130">
        <v>45170</v>
      </c>
      <c r="DX4" s="130">
        <v>45200</v>
      </c>
      <c r="DY4" s="130">
        <v>45231</v>
      </c>
      <c r="DZ4" s="130">
        <v>45261</v>
      </c>
      <c r="EA4" s="130">
        <v>45292</v>
      </c>
    </row>
    <row r="5" spans="1:131" s="7" customFormat="1" ht="25" customHeight="1" x14ac:dyDescent="0.25">
      <c r="A5" s="9" t="s">
        <v>0</v>
      </c>
      <c r="B5" s="132">
        <v>7091.7180599999992</v>
      </c>
      <c r="C5" s="132">
        <v>7074.7902899999999</v>
      </c>
      <c r="D5" s="132">
        <v>7075.1696200000015</v>
      </c>
      <c r="E5" s="132">
        <v>7064.6818600000015</v>
      </c>
      <c r="F5" s="132">
        <v>7072.5255200000001</v>
      </c>
      <c r="G5" s="132">
        <v>7024.5648199999996</v>
      </c>
      <c r="H5" s="132">
        <v>7005.7100000000009</v>
      </c>
      <c r="I5" s="132">
        <v>6969.5390000000025</v>
      </c>
      <c r="J5" s="132">
        <v>6954.9129999999996</v>
      </c>
      <c r="K5" s="132">
        <v>6930.3579999999993</v>
      </c>
      <c r="L5" s="132">
        <v>6956.2869999999994</v>
      </c>
      <c r="M5" s="132">
        <v>6944.875</v>
      </c>
      <c r="N5" s="132">
        <v>6918.8459999999995</v>
      </c>
      <c r="O5" s="132">
        <v>6872.7510000000002</v>
      </c>
      <c r="P5" s="132">
        <v>6863.143</v>
      </c>
      <c r="Q5" s="132">
        <v>6860.72</v>
      </c>
      <c r="R5" s="132">
        <v>6860.59</v>
      </c>
      <c r="S5" s="132">
        <v>6814.2179999999998</v>
      </c>
      <c r="T5" s="132">
        <v>6777.6809999999996</v>
      </c>
      <c r="U5" s="132">
        <v>6741.2250000000004</v>
      </c>
      <c r="V5" s="132">
        <v>6717.1509999999998</v>
      </c>
      <c r="W5" s="132">
        <v>6674.473</v>
      </c>
      <c r="X5" s="132">
        <v>6703.5309999999999</v>
      </c>
      <c r="Y5" s="132">
        <v>6688.0110000000004</v>
      </c>
      <c r="Z5" s="132">
        <v>6589.4129999999996</v>
      </c>
      <c r="AA5" s="132">
        <v>6573.0349999999999</v>
      </c>
      <c r="AB5" s="132">
        <v>6532.4359999999997</v>
      </c>
      <c r="AC5" s="132">
        <v>6537.049</v>
      </c>
      <c r="AD5" s="132">
        <v>6545.317</v>
      </c>
      <c r="AE5" s="132">
        <v>6509.8109999999997</v>
      </c>
      <c r="AF5" s="132">
        <v>6460.1139999999996</v>
      </c>
      <c r="AG5" s="132">
        <v>6425.5079999999998</v>
      </c>
      <c r="AH5" s="132">
        <v>6405.7110000000002</v>
      </c>
      <c r="AI5" s="132">
        <v>6379.0219999999999</v>
      </c>
      <c r="AJ5" s="132">
        <v>6397.39</v>
      </c>
      <c r="AK5" s="132">
        <v>6409.6490000000003</v>
      </c>
      <c r="AL5" s="132">
        <v>6372.8639999999996</v>
      </c>
      <c r="AM5" s="132">
        <v>6364.8980000000001</v>
      </c>
      <c r="AN5" s="132">
        <v>6344.7610000000004</v>
      </c>
      <c r="AO5" s="132">
        <v>6339.9120000000003</v>
      </c>
      <c r="AP5" s="132">
        <v>6349.1379999999999</v>
      </c>
      <c r="AQ5" s="132">
        <v>6318.5320000000002</v>
      </c>
      <c r="AR5" s="132">
        <v>6284.8609999999999</v>
      </c>
      <c r="AS5" s="132">
        <v>6248.2179999999998</v>
      </c>
      <c r="AT5" s="132">
        <v>6237.8450000000003</v>
      </c>
      <c r="AU5" s="132">
        <v>6200.3109999999997</v>
      </c>
      <c r="AV5" s="132">
        <v>6224.7610000000004</v>
      </c>
      <c r="AW5" s="132">
        <v>6251.8419999999996</v>
      </c>
      <c r="AX5" s="132">
        <v>6509.15</v>
      </c>
      <c r="AY5" s="132">
        <v>6525.598</v>
      </c>
      <c r="AZ5" s="132">
        <v>6500.8109999999997</v>
      </c>
      <c r="BA5" s="132">
        <v>6520.91</v>
      </c>
      <c r="BB5" s="132">
        <v>6508.42</v>
      </c>
      <c r="BC5" s="132">
        <v>6465.0460000000003</v>
      </c>
      <c r="BD5" s="132">
        <v>6419.9570000000003</v>
      </c>
      <c r="BE5" s="132">
        <v>6398.5060000000003</v>
      </c>
      <c r="BF5" s="132">
        <v>6379.8959999999997</v>
      </c>
      <c r="BG5" s="132">
        <v>6357.0370000000003</v>
      </c>
      <c r="BH5" s="132">
        <v>6372.7489999999998</v>
      </c>
      <c r="BI5" s="132">
        <v>6389.973</v>
      </c>
      <c r="BJ5" s="132">
        <v>6522.8509999999997</v>
      </c>
      <c r="BK5" s="132">
        <v>6530.5259999999998</v>
      </c>
      <c r="BL5" s="132">
        <v>6529.7969999999996</v>
      </c>
      <c r="BM5" s="132">
        <v>6540.4470000000001</v>
      </c>
      <c r="BN5" s="132">
        <v>6565.6530000000002</v>
      </c>
      <c r="BO5" s="132">
        <v>6510.68</v>
      </c>
      <c r="BP5" s="132">
        <v>6367.9290000000001</v>
      </c>
      <c r="BQ5" s="132">
        <v>6452.4260000000004</v>
      </c>
      <c r="BR5" s="132">
        <v>6391.2150000000001</v>
      </c>
      <c r="BS5" s="132">
        <v>6413.2539999999999</v>
      </c>
      <c r="BT5" s="132">
        <v>6434.8329999999996</v>
      </c>
      <c r="BU5" s="132">
        <v>6443.2910000000002</v>
      </c>
      <c r="BV5" s="132">
        <v>6614.6779999999999</v>
      </c>
      <c r="BW5" s="132">
        <v>6604.3040000000001</v>
      </c>
      <c r="BX5" s="132">
        <v>6587.7060000000001</v>
      </c>
      <c r="BY5" s="132">
        <v>6592.326</v>
      </c>
      <c r="BZ5" s="132">
        <v>6606.625</v>
      </c>
      <c r="CA5" s="132">
        <v>6570.4719999999998</v>
      </c>
      <c r="CB5" s="132">
        <v>6542.7529999999997</v>
      </c>
      <c r="CC5" s="132">
        <v>6507.9449999999997</v>
      </c>
      <c r="CD5" s="132">
        <v>6502.7439999999997</v>
      </c>
      <c r="CE5" s="132">
        <v>6481.23</v>
      </c>
      <c r="CF5" s="132">
        <v>6499.2370000000001</v>
      </c>
      <c r="CG5" s="132">
        <v>6524.826</v>
      </c>
      <c r="CH5" s="132">
        <v>7217.7089999999998</v>
      </c>
      <c r="CI5" s="132">
        <v>7339.5259999999998</v>
      </c>
      <c r="CJ5" s="132">
        <v>7334.2269999999999</v>
      </c>
      <c r="CK5" s="132">
        <v>7360.0720000000001</v>
      </c>
      <c r="CL5" s="132">
        <v>7390.2089999999998</v>
      </c>
      <c r="CM5" s="132">
        <v>7364.6819999999998</v>
      </c>
      <c r="CN5" s="132">
        <v>7333.2449999999999</v>
      </c>
      <c r="CO5" s="132">
        <v>7311.0349999999999</v>
      </c>
      <c r="CP5" s="132">
        <v>7302.2920000000004</v>
      </c>
      <c r="CQ5" s="132">
        <v>7280.77</v>
      </c>
      <c r="CR5" s="132">
        <v>7300.3329999999996</v>
      </c>
      <c r="CS5" s="132">
        <v>7328.0339999999997</v>
      </c>
      <c r="CT5" s="132">
        <v>7273.8360000000002</v>
      </c>
      <c r="CU5" s="132">
        <v>7269.7020000000002</v>
      </c>
      <c r="CV5" s="132">
        <v>7219.31</v>
      </c>
      <c r="CW5" s="132">
        <v>7157.7650000000003</v>
      </c>
      <c r="CX5" s="132">
        <v>7127.5060000000003</v>
      </c>
      <c r="CY5" s="132">
        <v>7077.643</v>
      </c>
      <c r="CZ5" s="132">
        <v>7031.9110000000001</v>
      </c>
      <c r="DA5" s="132">
        <v>7008.4930000000004</v>
      </c>
      <c r="DB5" s="132">
        <v>6955.3779999999997</v>
      </c>
      <c r="DC5" s="132">
        <v>6849.2060000000001</v>
      </c>
      <c r="DD5" s="132">
        <v>6812.4009999999998</v>
      </c>
      <c r="DE5" s="132">
        <v>6829.1689999999999</v>
      </c>
      <c r="DF5" s="132">
        <v>7128.1930000000002</v>
      </c>
      <c r="DG5" s="132">
        <v>7151.5389999999998</v>
      </c>
      <c r="DH5" s="132">
        <v>7129.54</v>
      </c>
      <c r="DI5" s="132">
        <v>7130.8720000000003</v>
      </c>
      <c r="DJ5" s="132">
        <v>7149.5020000000004</v>
      </c>
      <c r="DK5" s="132">
        <v>7150.3909999999996</v>
      </c>
      <c r="DL5" s="132">
        <v>7071.7860000000001</v>
      </c>
      <c r="DM5" s="132">
        <v>7043.4740000000002</v>
      </c>
      <c r="DN5" s="132">
        <v>7023.5460000000003</v>
      </c>
      <c r="DO5" s="132">
        <v>7077.0460000000003</v>
      </c>
      <c r="DP5" s="132">
        <v>7081.2610000000004</v>
      </c>
      <c r="DQ5" s="132">
        <v>7364.2550000000001</v>
      </c>
      <c r="DR5" s="132">
        <v>7436.5020000000004</v>
      </c>
      <c r="DS5" s="132">
        <v>7529.9359999999997</v>
      </c>
      <c r="DT5" s="132">
        <v>7487.5249999999996</v>
      </c>
      <c r="DU5" s="134">
        <v>7509.8109999999997</v>
      </c>
      <c r="DV5" s="134">
        <v>7512.6490000000003</v>
      </c>
      <c r="DW5" s="134">
        <v>7515.5990000000002</v>
      </c>
      <c r="DX5" s="134">
        <v>7519.625</v>
      </c>
      <c r="DY5" s="134">
        <v>7511.0309999999999</v>
      </c>
      <c r="DZ5" s="134">
        <v>7523.7640000000001</v>
      </c>
      <c r="EA5" s="143">
        <v>7478.9219999999996</v>
      </c>
    </row>
    <row r="6" spans="1:131" s="8" customFormat="1" ht="16" customHeight="1" x14ac:dyDescent="0.25">
      <c r="A6" s="66" t="s">
        <v>1</v>
      </c>
      <c r="B6" s="82">
        <v>199.63746</v>
      </c>
      <c r="C6" s="82">
        <v>198.36654000000001</v>
      </c>
      <c r="D6" s="82">
        <v>198.26118</v>
      </c>
      <c r="E6" s="82">
        <v>197.14995999999999</v>
      </c>
      <c r="F6" s="82">
        <v>194.75149999999999</v>
      </c>
      <c r="G6" s="82">
        <v>194.31755000000001</v>
      </c>
      <c r="H6" s="82">
        <v>192.923</v>
      </c>
      <c r="I6" s="82">
        <v>192.00800000000001</v>
      </c>
      <c r="J6" s="82">
        <v>191.233</v>
      </c>
      <c r="K6" s="82">
        <v>190.38300000000001</v>
      </c>
      <c r="L6" s="82">
        <v>190.03399999999999</v>
      </c>
      <c r="M6" s="82">
        <v>188.46799999999999</v>
      </c>
      <c r="N6" s="82">
        <v>188.19800000000001</v>
      </c>
      <c r="O6" s="82">
        <v>186.68100000000001</v>
      </c>
      <c r="P6" s="82">
        <v>185.51300000000001</v>
      </c>
      <c r="Q6" s="82">
        <v>184.36699999999999</v>
      </c>
      <c r="R6" s="82">
        <v>183.57499999999999</v>
      </c>
      <c r="S6" s="82">
        <v>181.21899999999999</v>
      </c>
      <c r="T6" s="82">
        <v>179.87200000000001</v>
      </c>
      <c r="U6" s="82">
        <v>177.95</v>
      </c>
      <c r="V6" s="82">
        <v>176.34100000000001</v>
      </c>
      <c r="W6" s="82">
        <v>175.99700000000001</v>
      </c>
      <c r="X6" s="82">
        <v>176.309</v>
      </c>
      <c r="Y6" s="82">
        <v>176.74600000000001</v>
      </c>
      <c r="Z6" s="82">
        <v>175.2</v>
      </c>
      <c r="AA6" s="82">
        <v>176.01499999999999</v>
      </c>
      <c r="AB6" s="82">
        <v>175.96899999999999</v>
      </c>
      <c r="AC6" s="82">
        <v>176.553</v>
      </c>
      <c r="AD6" s="82">
        <v>177.23099999999999</v>
      </c>
      <c r="AE6" s="82">
        <v>176.32900000000001</v>
      </c>
      <c r="AF6" s="82">
        <v>176.142</v>
      </c>
      <c r="AG6" s="82">
        <v>176.81800000000001</v>
      </c>
      <c r="AH6" s="82">
        <v>177.54499999999999</v>
      </c>
      <c r="AI6" s="82">
        <v>178.05199999999999</v>
      </c>
      <c r="AJ6" s="82">
        <v>178.24100000000001</v>
      </c>
      <c r="AK6" s="82">
        <v>178.97900000000001</v>
      </c>
      <c r="AL6" s="82">
        <v>178.84100000000001</v>
      </c>
      <c r="AM6" s="82">
        <v>180.37</v>
      </c>
      <c r="AN6" s="82">
        <v>181.74600000000001</v>
      </c>
      <c r="AO6" s="82">
        <v>182.804</v>
      </c>
      <c r="AP6" s="82">
        <v>183.89</v>
      </c>
      <c r="AQ6" s="82">
        <v>185.02699999999999</v>
      </c>
      <c r="AR6" s="83">
        <v>185.19499999999999</v>
      </c>
      <c r="AS6" s="83">
        <v>183.72399999999999</v>
      </c>
      <c r="AT6" s="83">
        <v>183.45500000000001</v>
      </c>
      <c r="AU6" s="82">
        <v>183.81800000000001</v>
      </c>
      <c r="AV6" s="82">
        <v>184.983</v>
      </c>
      <c r="AW6" s="82">
        <v>186.74799999999999</v>
      </c>
      <c r="AX6" s="84">
        <v>190.708</v>
      </c>
      <c r="AY6" s="84">
        <v>191.46799999999999</v>
      </c>
      <c r="AZ6" s="84">
        <v>190.80699999999999</v>
      </c>
      <c r="BA6" s="85">
        <v>190.624</v>
      </c>
      <c r="BB6" s="85">
        <v>191.39400000000001</v>
      </c>
      <c r="BC6" s="85">
        <v>189.739</v>
      </c>
      <c r="BD6" s="84">
        <v>188.26400000000001</v>
      </c>
      <c r="BE6" s="84">
        <v>187.44399999999999</v>
      </c>
      <c r="BF6" s="84">
        <v>187.71700000000001</v>
      </c>
      <c r="BG6" s="84">
        <v>186.892</v>
      </c>
      <c r="BH6" s="84">
        <v>187.53800000000001</v>
      </c>
      <c r="BI6" s="84">
        <v>189.14500000000001</v>
      </c>
      <c r="BJ6" s="83">
        <v>193.26900000000001</v>
      </c>
      <c r="BK6" s="83">
        <v>195.00800000000001</v>
      </c>
      <c r="BL6" s="83">
        <v>195.065</v>
      </c>
      <c r="BM6" s="84">
        <v>195.56299999999999</v>
      </c>
      <c r="BN6" s="84">
        <v>195.42400000000001</v>
      </c>
      <c r="BO6" s="84">
        <v>195.15700000000001</v>
      </c>
      <c r="BP6" s="84">
        <v>189.947</v>
      </c>
      <c r="BQ6" s="84">
        <v>192.26</v>
      </c>
      <c r="BR6" s="84">
        <v>190.221</v>
      </c>
      <c r="BS6" s="86">
        <f>190103/1000</f>
        <v>190.10300000000001</v>
      </c>
      <c r="BT6" s="83">
        <v>190.345</v>
      </c>
      <c r="BU6" s="87">
        <v>190.23400000000001</v>
      </c>
      <c r="BV6" s="87">
        <v>197.88800000000001</v>
      </c>
      <c r="BW6" s="87">
        <v>197.01</v>
      </c>
      <c r="BX6" s="87">
        <v>195.67500000000001</v>
      </c>
      <c r="BY6" s="87">
        <v>193.39599999999999</v>
      </c>
      <c r="BZ6" s="87">
        <v>194.61500000000001</v>
      </c>
      <c r="CA6" s="87">
        <v>192.886</v>
      </c>
      <c r="CB6" s="87">
        <v>193.40600000000001</v>
      </c>
      <c r="CC6" s="87">
        <v>192.67400000000001</v>
      </c>
      <c r="CD6" s="87">
        <v>194.40600000000001</v>
      </c>
      <c r="CE6" s="87">
        <v>193.709</v>
      </c>
      <c r="CF6" s="87">
        <v>194.54400000000001</v>
      </c>
      <c r="CG6" s="87">
        <v>195.607</v>
      </c>
      <c r="CH6" s="87">
        <v>206.476</v>
      </c>
      <c r="CI6" s="87">
        <v>212.358</v>
      </c>
      <c r="CJ6" s="87">
        <v>214.256</v>
      </c>
      <c r="CK6" s="87">
        <v>216.73</v>
      </c>
      <c r="CL6" s="87">
        <v>228.64400000000001</v>
      </c>
      <c r="CM6" s="87">
        <v>227.46199999999999</v>
      </c>
      <c r="CN6" s="87">
        <v>228.66900000000001</v>
      </c>
      <c r="CO6" s="87">
        <v>232.31899999999999</v>
      </c>
      <c r="CP6" s="87">
        <v>235.126</v>
      </c>
      <c r="CQ6" s="87">
        <v>238.56800000000001</v>
      </c>
      <c r="CR6" s="87">
        <v>239.81700000000001</v>
      </c>
      <c r="CS6" s="87">
        <v>240.75200000000001</v>
      </c>
      <c r="CT6" s="87">
        <v>238.155</v>
      </c>
      <c r="CU6" s="87">
        <v>236.25299999999999</v>
      </c>
      <c r="CV6" s="87">
        <v>234.01499999999999</v>
      </c>
      <c r="CW6" s="87">
        <v>229.887</v>
      </c>
      <c r="CX6" s="87">
        <v>228.023</v>
      </c>
      <c r="CY6" s="87">
        <v>225.69200000000001</v>
      </c>
      <c r="CZ6" s="87">
        <v>223.01900000000001</v>
      </c>
      <c r="DA6" s="87">
        <v>222.673</v>
      </c>
      <c r="DB6" s="87">
        <v>220.215</v>
      </c>
      <c r="DC6" s="87">
        <v>216.107</v>
      </c>
      <c r="DD6" s="87">
        <v>213.95599999999999</v>
      </c>
      <c r="DE6" s="87">
        <v>211.75299999999999</v>
      </c>
      <c r="DF6" s="87">
        <v>218.511</v>
      </c>
      <c r="DG6" s="87">
        <v>220.458</v>
      </c>
      <c r="DH6" s="87">
        <v>218.333</v>
      </c>
      <c r="DI6" s="87">
        <v>220.17599999999999</v>
      </c>
      <c r="DJ6" s="87">
        <v>220.55799999999999</v>
      </c>
      <c r="DK6" s="87">
        <v>221.072</v>
      </c>
      <c r="DL6" s="87">
        <v>219.75899999999999</v>
      </c>
      <c r="DM6" s="87">
        <v>219.303</v>
      </c>
      <c r="DN6" s="87">
        <v>217.69300000000001</v>
      </c>
      <c r="DO6" s="82">
        <v>219.51499999999999</v>
      </c>
      <c r="DP6" s="82">
        <v>219.749</v>
      </c>
      <c r="DQ6" s="82">
        <v>229.66900000000001</v>
      </c>
      <c r="DR6" s="82">
        <v>228.11</v>
      </c>
      <c r="DS6" s="82">
        <v>235.023</v>
      </c>
      <c r="DT6" s="82">
        <v>236.54300000000001</v>
      </c>
      <c r="DU6" s="82">
        <v>237.18799999999999</v>
      </c>
      <c r="DV6" s="82">
        <v>239.92099999999999</v>
      </c>
      <c r="DW6" s="82">
        <v>240.535</v>
      </c>
      <c r="DX6" s="82">
        <v>239.79900000000001</v>
      </c>
      <c r="DY6" s="82">
        <v>239.9</v>
      </c>
      <c r="DZ6" s="82">
        <v>238.572</v>
      </c>
      <c r="EA6" s="144">
        <v>238.184</v>
      </c>
    </row>
    <row r="7" spans="1:131" s="8" customFormat="1" ht="16" customHeight="1" x14ac:dyDescent="0.25">
      <c r="A7" s="51" t="s">
        <v>2</v>
      </c>
      <c r="B7" s="88">
        <v>154.20884000000001</v>
      </c>
      <c r="C7" s="88">
        <v>152.80737999999999</v>
      </c>
      <c r="D7" s="88">
        <v>152.98388</v>
      </c>
      <c r="E7" s="88">
        <v>151.89707000000001</v>
      </c>
      <c r="F7" s="88">
        <v>152.47068999999999</v>
      </c>
      <c r="G7" s="88">
        <v>151.62273000000002</v>
      </c>
      <c r="H7" s="88">
        <v>149.089</v>
      </c>
      <c r="I7" s="88">
        <v>149.62899999999999</v>
      </c>
      <c r="J7" s="88">
        <v>150.072</v>
      </c>
      <c r="K7" s="88">
        <v>148.63300000000001</v>
      </c>
      <c r="L7" s="88">
        <v>149.28</v>
      </c>
      <c r="M7" s="88">
        <v>148.85499999999999</v>
      </c>
      <c r="N7" s="88">
        <v>147.31700000000001</v>
      </c>
      <c r="O7" s="88">
        <v>145.42400000000001</v>
      </c>
      <c r="P7" s="88">
        <v>145.244</v>
      </c>
      <c r="Q7" s="88">
        <v>144.678</v>
      </c>
      <c r="R7" s="88">
        <v>144.54599999999999</v>
      </c>
      <c r="S7" s="88">
        <v>143.518</v>
      </c>
      <c r="T7" s="88">
        <v>143.09</v>
      </c>
      <c r="U7" s="88">
        <v>142.471</v>
      </c>
      <c r="V7" s="88">
        <v>142.553</v>
      </c>
      <c r="W7" s="88">
        <v>141.61799999999999</v>
      </c>
      <c r="X7" s="88">
        <v>142.119</v>
      </c>
      <c r="Y7" s="88">
        <v>142.86500000000001</v>
      </c>
      <c r="Z7" s="88">
        <v>136.821</v>
      </c>
      <c r="AA7" s="88">
        <v>138.27099999999999</v>
      </c>
      <c r="AB7" s="88">
        <v>141.226</v>
      </c>
      <c r="AC7" s="88">
        <v>140.56100000000001</v>
      </c>
      <c r="AD7" s="88">
        <v>141.017</v>
      </c>
      <c r="AE7" s="88">
        <v>140.31700000000001</v>
      </c>
      <c r="AF7" s="88">
        <v>139.31</v>
      </c>
      <c r="AG7" s="88">
        <v>139.81899999999999</v>
      </c>
      <c r="AH7" s="88">
        <v>140.50800000000001</v>
      </c>
      <c r="AI7" s="88">
        <v>140.08600000000001</v>
      </c>
      <c r="AJ7" s="88">
        <v>140.47499999999999</v>
      </c>
      <c r="AK7" s="88">
        <v>142.02000000000001</v>
      </c>
      <c r="AL7" s="88">
        <v>142.398</v>
      </c>
      <c r="AM7" s="88">
        <v>143.339</v>
      </c>
      <c r="AN7" s="88">
        <v>142.30600000000001</v>
      </c>
      <c r="AO7" s="88">
        <v>142.941</v>
      </c>
      <c r="AP7" s="88">
        <v>144.52099999999999</v>
      </c>
      <c r="AQ7" s="88">
        <v>144.768</v>
      </c>
      <c r="AR7" s="89">
        <v>145.119</v>
      </c>
      <c r="AS7" s="89">
        <v>144.49600000000001</v>
      </c>
      <c r="AT7" s="89">
        <v>144.84100000000001</v>
      </c>
      <c r="AU7" s="88">
        <v>143.9</v>
      </c>
      <c r="AV7" s="88">
        <v>145.452</v>
      </c>
      <c r="AW7" s="88">
        <v>148.107</v>
      </c>
      <c r="AX7" s="90">
        <v>157.328</v>
      </c>
      <c r="AY7" s="90">
        <v>161.495</v>
      </c>
      <c r="AZ7" s="90">
        <v>161.99799999999999</v>
      </c>
      <c r="BA7" s="91">
        <v>157.149</v>
      </c>
      <c r="BB7" s="91">
        <v>157.589</v>
      </c>
      <c r="BC7" s="91">
        <v>157.328</v>
      </c>
      <c r="BD7" s="90">
        <v>156.077</v>
      </c>
      <c r="BE7" s="90">
        <v>155.32499999999999</v>
      </c>
      <c r="BF7" s="90">
        <v>154.74199999999999</v>
      </c>
      <c r="BG7" s="90">
        <v>154.01499999999999</v>
      </c>
      <c r="BH7" s="90">
        <v>154.089</v>
      </c>
      <c r="BI7" s="90">
        <v>154.13399999999999</v>
      </c>
      <c r="BJ7" s="89">
        <v>155.88800000000001</v>
      </c>
      <c r="BK7" s="89">
        <v>155.98099999999999</v>
      </c>
      <c r="BL7" s="89">
        <v>155.09800000000001</v>
      </c>
      <c r="BM7" s="90">
        <v>154.14699999999999</v>
      </c>
      <c r="BN7" s="90">
        <v>153.93600000000001</v>
      </c>
      <c r="BO7" s="90">
        <v>154.69999999999999</v>
      </c>
      <c r="BP7" s="90">
        <v>149.893</v>
      </c>
      <c r="BQ7" s="90">
        <v>155.20699999999999</v>
      </c>
      <c r="BR7" s="90">
        <v>155.71299999999999</v>
      </c>
      <c r="BS7" s="92">
        <f>156015/1000</f>
        <v>156.01499999999999</v>
      </c>
      <c r="BT7" s="89">
        <v>157.58600000000001</v>
      </c>
      <c r="BU7" s="93">
        <v>158.93299999999999</v>
      </c>
      <c r="BV7" s="93">
        <v>161.417</v>
      </c>
      <c r="BW7" s="93">
        <v>160.41300000000001</v>
      </c>
      <c r="BX7" s="93">
        <v>160.49799999999999</v>
      </c>
      <c r="BY7" s="93">
        <v>160.74</v>
      </c>
      <c r="BZ7" s="93">
        <v>161.34800000000001</v>
      </c>
      <c r="CA7" s="93">
        <v>160.447</v>
      </c>
      <c r="CB7" s="93">
        <v>160.83500000000001</v>
      </c>
      <c r="CC7" s="93">
        <v>159.13399999999999</v>
      </c>
      <c r="CD7" s="93">
        <v>159.84299999999999</v>
      </c>
      <c r="CE7" s="93">
        <v>161.012</v>
      </c>
      <c r="CF7" s="93">
        <v>162.22999999999999</v>
      </c>
      <c r="CG7" s="93">
        <v>164.62700000000001</v>
      </c>
      <c r="CH7" s="93">
        <v>191.649</v>
      </c>
      <c r="CI7" s="93">
        <v>195.792</v>
      </c>
      <c r="CJ7" s="93">
        <v>192.46100000000001</v>
      </c>
      <c r="CK7" s="93">
        <v>195.88200000000001</v>
      </c>
      <c r="CL7" s="93">
        <v>195.44499999999999</v>
      </c>
      <c r="CM7" s="93">
        <v>194.92400000000001</v>
      </c>
      <c r="CN7" s="93">
        <v>192.386</v>
      </c>
      <c r="CO7" s="93">
        <v>190.976</v>
      </c>
      <c r="CP7" s="93">
        <v>185.00700000000001</v>
      </c>
      <c r="CQ7" s="93">
        <v>191.941</v>
      </c>
      <c r="CR7" s="93">
        <v>193.00899999999999</v>
      </c>
      <c r="CS7" s="93">
        <v>193.45699999999999</v>
      </c>
      <c r="CT7" s="93">
        <v>190.89</v>
      </c>
      <c r="CU7" s="93">
        <v>189.505</v>
      </c>
      <c r="CV7" s="93">
        <v>187.798</v>
      </c>
      <c r="CW7" s="93">
        <v>183.25299999999999</v>
      </c>
      <c r="CX7" s="93">
        <v>181.46899999999999</v>
      </c>
      <c r="CY7" s="93">
        <v>180.32900000000001</v>
      </c>
      <c r="CZ7" s="93">
        <v>179.92599999999999</v>
      </c>
      <c r="DA7" s="93">
        <v>178.55500000000001</v>
      </c>
      <c r="DB7" s="93">
        <v>182.886</v>
      </c>
      <c r="DC7" s="93">
        <v>176.006</v>
      </c>
      <c r="DD7" s="93">
        <v>172.35599999999999</v>
      </c>
      <c r="DE7" s="93">
        <v>173.273</v>
      </c>
      <c r="DF7" s="93">
        <v>184.51400000000001</v>
      </c>
      <c r="DG7" s="93">
        <v>186.16300000000001</v>
      </c>
      <c r="DH7" s="93">
        <v>183.809</v>
      </c>
      <c r="DI7" s="93">
        <v>183.94200000000001</v>
      </c>
      <c r="DJ7" s="93">
        <v>183.23</v>
      </c>
      <c r="DK7" s="93">
        <v>183.33</v>
      </c>
      <c r="DL7" s="93">
        <v>180.78299999999999</v>
      </c>
      <c r="DM7" s="93">
        <v>180.05</v>
      </c>
      <c r="DN7" s="93">
        <v>180.988</v>
      </c>
      <c r="DO7" s="88">
        <v>180.78399999999999</v>
      </c>
      <c r="DP7" s="88">
        <v>181.13200000000001</v>
      </c>
      <c r="DQ7" s="88">
        <v>183.01300000000001</v>
      </c>
      <c r="DR7" s="88">
        <v>192.96799999999999</v>
      </c>
      <c r="DS7" s="88">
        <v>192.68899999999999</v>
      </c>
      <c r="DT7" s="88">
        <v>190.89699999999999</v>
      </c>
      <c r="DU7" s="135">
        <v>190.95599999999999</v>
      </c>
      <c r="DV7" s="135">
        <v>189.72200000000001</v>
      </c>
      <c r="DW7" s="135">
        <v>190.67699999999999</v>
      </c>
      <c r="DX7" s="135">
        <v>190.59899999999999</v>
      </c>
      <c r="DY7" s="135">
        <v>189.95599999999999</v>
      </c>
      <c r="DZ7" s="135">
        <v>190.15799999999999</v>
      </c>
      <c r="EA7" s="145">
        <v>187.38200000000001</v>
      </c>
    </row>
    <row r="8" spans="1:131" s="8" customFormat="1" ht="16" customHeight="1" x14ac:dyDescent="0.25">
      <c r="A8" s="66" t="s">
        <v>3</v>
      </c>
      <c r="B8" s="82">
        <v>109.91924</v>
      </c>
      <c r="C8" s="82">
        <v>108.34879999999998</v>
      </c>
      <c r="D8" s="82">
        <v>106.3095</v>
      </c>
      <c r="E8" s="82">
        <v>106.23096000000001</v>
      </c>
      <c r="F8" s="82">
        <v>108.39196000000001</v>
      </c>
      <c r="G8" s="82">
        <v>107.2624</v>
      </c>
      <c r="H8" s="82">
        <v>106.38500000000001</v>
      </c>
      <c r="I8" s="82">
        <v>105.654</v>
      </c>
      <c r="J8" s="82">
        <v>105.26300000000001</v>
      </c>
      <c r="K8" s="82">
        <v>105.178</v>
      </c>
      <c r="L8" s="82">
        <v>105.934</v>
      </c>
      <c r="M8" s="82">
        <v>106.429</v>
      </c>
      <c r="N8" s="82">
        <v>104.453</v>
      </c>
      <c r="O8" s="82">
        <v>103.854</v>
      </c>
      <c r="P8" s="82">
        <v>103.51</v>
      </c>
      <c r="Q8" s="82">
        <v>103.88500000000001</v>
      </c>
      <c r="R8" s="82">
        <v>103.89700000000001</v>
      </c>
      <c r="S8" s="82">
        <v>103.066</v>
      </c>
      <c r="T8" s="82">
        <v>102.34699999999999</v>
      </c>
      <c r="U8" s="82">
        <v>101.65600000000001</v>
      </c>
      <c r="V8" s="82">
        <v>101.5</v>
      </c>
      <c r="W8" s="82">
        <v>102.352</v>
      </c>
      <c r="X8" s="82">
        <v>101.908</v>
      </c>
      <c r="Y8" s="82">
        <v>101.514</v>
      </c>
      <c r="Z8" s="82">
        <v>100.449</v>
      </c>
      <c r="AA8" s="82">
        <v>100.764</v>
      </c>
      <c r="AB8" s="82">
        <v>100.572</v>
      </c>
      <c r="AC8" s="82">
        <v>101.313</v>
      </c>
      <c r="AD8" s="82">
        <v>101.282</v>
      </c>
      <c r="AE8" s="82">
        <v>101</v>
      </c>
      <c r="AF8" s="82">
        <v>99.846999999999994</v>
      </c>
      <c r="AG8" s="82">
        <v>99.093000000000004</v>
      </c>
      <c r="AH8" s="82">
        <v>99.557000000000002</v>
      </c>
      <c r="AI8" s="82">
        <v>99.266999999999996</v>
      </c>
      <c r="AJ8" s="82">
        <v>99.852000000000004</v>
      </c>
      <c r="AK8" s="82">
        <v>100.084</v>
      </c>
      <c r="AL8" s="82">
        <v>99.986000000000004</v>
      </c>
      <c r="AM8" s="82">
        <v>100.053</v>
      </c>
      <c r="AN8" s="82">
        <v>100.20699999999999</v>
      </c>
      <c r="AO8" s="82">
        <v>100.33499999999999</v>
      </c>
      <c r="AP8" s="82">
        <v>100.114</v>
      </c>
      <c r="AQ8" s="82">
        <v>99.751999999999995</v>
      </c>
      <c r="AR8" s="83">
        <v>98.543000000000006</v>
      </c>
      <c r="AS8" s="83">
        <v>98.465999999999994</v>
      </c>
      <c r="AT8" s="83">
        <v>98.162000000000006</v>
      </c>
      <c r="AU8" s="82">
        <v>97.733999999999995</v>
      </c>
      <c r="AV8" s="82">
        <v>98.119</v>
      </c>
      <c r="AW8" s="82">
        <v>98.775000000000006</v>
      </c>
      <c r="AX8" s="84">
        <v>103.023</v>
      </c>
      <c r="AY8" s="84">
        <v>103.825</v>
      </c>
      <c r="AZ8" s="84">
        <v>104.363</v>
      </c>
      <c r="BA8" s="85">
        <v>104.2</v>
      </c>
      <c r="BB8" s="85">
        <v>104.732</v>
      </c>
      <c r="BC8" s="85">
        <v>103.352</v>
      </c>
      <c r="BD8" s="84">
        <v>102.407</v>
      </c>
      <c r="BE8" s="84">
        <v>102.486</v>
      </c>
      <c r="BF8" s="84">
        <v>102.387</v>
      </c>
      <c r="BG8" s="84">
        <v>102.71299999999999</v>
      </c>
      <c r="BH8" s="84">
        <v>102.66</v>
      </c>
      <c r="BI8" s="84">
        <v>103.098</v>
      </c>
      <c r="BJ8" s="83">
        <v>104.842</v>
      </c>
      <c r="BK8" s="83">
        <v>105.637</v>
      </c>
      <c r="BL8" s="83">
        <v>105.20099999999999</v>
      </c>
      <c r="BM8" s="84">
        <v>105.084</v>
      </c>
      <c r="BN8" s="84">
        <v>104.97199999999999</v>
      </c>
      <c r="BO8" s="84">
        <v>105.40600000000001</v>
      </c>
      <c r="BP8" s="84">
        <v>103.387</v>
      </c>
      <c r="BQ8" s="84">
        <v>104.506</v>
      </c>
      <c r="BR8" s="84">
        <v>102.77800000000001</v>
      </c>
      <c r="BS8" s="86">
        <f>102792/1000</f>
        <v>102.792</v>
      </c>
      <c r="BT8" s="83">
        <v>103.39100000000001</v>
      </c>
      <c r="BU8" s="87">
        <v>103.23099999999999</v>
      </c>
      <c r="BV8" s="87">
        <v>105.279</v>
      </c>
      <c r="BW8" s="87">
        <v>105.72799999999999</v>
      </c>
      <c r="BX8" s="87">
        <v>106.095</v>
      </c>
      <c r="BY8" s="87">
        <v>106.164</v>
      </c>
      <c r="BZ8" s="87">
        <v>106.169</v>
      </c>
      <c r="CA8" s="87">
        <v>105.003</v>
      </c>
      <c r="CB8" s="87">
        <v>104.229</v>
      </c>
      <c r="CC8" s="87">
        <v>102.994</v>
      </c>
      <c r="CD8" s="87">
        <v>102.97199999999999</v>
      </c>
      <c r="CE8" s="87">
        <v>102.527</v>
      </c>
      <c r="CF8" s="87">
        <v>103.59099999999999</v>
      </c>
      <c r="CG8" s="87">
        <v>104.512</v>
      </c>
      <c r="CH8" s="87">
        <v>116.91800000000001</v>
      </c>
      <c r="CI8" s="87">
        <v>116.655</v>
      </c>
      <c r="CJ8" s="87">
        <v>115.262</v>
      </c>
      <c r="CK8" s="87">
        <v>115.741</v>
      </c>
      <c r="CL8" s="87">
        <v>115.77800000000001</v>
      </c>
      <c r="CM8" s="87">
        <v>115.268</v>
      </c>
      <c r="CN8" s="87">
        <v>114.09699999999999</v>
      </c>
      <c r="CO8" s="87">
        <v>113.154</v>
      </c>
      <c r="CP8" s="87">
        <v>113.86199999999999</v>
      </c>
      <c r="CQ8" s="87">
        <v>112.303</v>
      </c>
      <c r="CR8" s="87">
        <v>113.34699999999999</v>
      </c>
      <c r="CS8" s="87">
        <v>113.294</v>
      </c>
      <c r="CT8" s="87">
        <v>113.563</v>
      </c>
      <c r="CU8" s="87">
        <v>112.366</v>
      </c>
      <c r="CV8" s="87">
        <v>112.372</v>
      </c>
      <c r="CW8" s="87">
        <v>111.26600000000001</v>
      </c>
      <c r="CX8" s="87">
        <v>110.244</v>
      </c>
      <c r="CY8" s="87">
        <v>109.529</v>
      </c>
      <c r="CZ8" s="87">
        <v>108.985</v>
      </c>
      <c r="DA8" s="87">
        <v>108.461</v>
      </c>
      <c r="DB8" s="87">
        <v>107.289</v>
      </c>
      <c r="DC8" s="87">
        <v>105.99299999999999</v>
      </c>
      <c r="DD8" s="87">
        <v>105.405</v>
      </c>
      <c r="DE8" s="87">
        <v>104.691</v>
      </c>
      <c r="DF8" s="87">
        <v>110.41800000000001</v>
      </c>
      <c r="DG8" s="87">
        <v>110.22499999999999</v>
      </c>
      <c r="DH8" s="87">
        <v>110.474</v>
      </c>
      <c r="DI8" s="87">
        <v>109.571</v>
      </c>
      <c r="DJ8" s="87">
        <v>109.80200000000001</v>
      </c>
      <c r="DK8" s="87">
        <v>109.53400000000001</v>
      </c>
      <c r="DL8" s="87">
        <v>108.16500000000001</v>
      </c>
      <c r="DM8" s="87">
        <v>107.563</v>
      </c>
      <c r="DN8" s="87">
        <v>109.143</v>
      </c>
      <c r="DO8" s="82">
        <v>108.20699999999999</v>
      </c>
      <c r="DP8" s="82">
        <v>108.922</v>
      </c>
      <c r="DQ8" s="82">
        <v>116.64100000000001</v>
      </c>
      <c r="DR8" s="82">
        <v>117.084</v>
      </c>
      <c r="DS8" s="82">
        <v>118.512</v>
      </c>
      <c r="DT8" s="82">
        <v>117.715</v>
      </c>
      <c r="DU8" s="82">
        <v>119.071</v>
      </c>
      <c r="DV8" s="82">
        <v>118.68</v>
      </c>
      <c r="DW8" s="82">
        <v>118.035</v>
      </c>
      <c r="DX8" s="82">
        <v>118.224</v>
      </c>
      <c r="DY8" s="82">
        <v>117.79300000000001</v>
      </c>
      <c r="DZ8" s="82">
        <v>117.624</v>
      </c>
      <c r="EA8" s="144">
        <v>116.68</v>
      </c>
    </row>
    <row r="9" spans="1:131" s="8" customFormat="1" ht="16" customHeight="1" x14ac:dyDescent="0.25">
      <c r="A9" s="51" t="s">
        <v>4</v>
      </c>
      <c r="B9" s="88">
        <v>113.64759000000001</v>
      </c>
      <c r="C9" s="88">
        <v>113.44522000000001</v>
      </c>
      <c r="D9" s="88">
        <v>112.93618000000001</v>
      </c>
      <c r="E9" s="88">
        <v>113.09967999999999</v>
      </c>
      <c r="F9" s="88">
        <v>113.28402</v>
      </c>
      <c r="G9" s="88">
        <v>112.94946</v>
      </c>
      <c r="H9" s="88">
        <v>111.96299999999999</v>
      </c>
      <c r="I9" s="88">
        <v>111.96</v>
      </c>
      <c r="J9" s="88">
        <v>112.53</v>
      </c>
      <c r="K9" s="88">
        <v>112.56</v>
      </c>
      <c r="L9" s="88">
        <v>113.283</v>
      </c>
      <c r="M9" s="88">
        <v>112.73</v>
      </c>
      <c r="N9" s="88">
        <v>111.78100000000001</v>
      </c>
      <c r="O9" s="88">
        <v>110.486</v>
      </c>
      <c r="P9" s="88">
        <v>109.794</v>
      </c>
      <c r="Q9" s="88">
        <v>109.044</v>
      </c>
      <c r="R9" s="88">
        <v>109.146</v>
      </c>
      <c r="S9" s="88">
        <v>108.46</v>
      </c>
      <c r="T9" s="88">
        <v>108.429</v>
      </c>
      <c r="U9" s="88">
        <v>107.872</v>
      </c>
      <c r="V9" s="88">
        <v>108.261</v>
      </c>
      <c r="W9" s="88">
        <v>107.84699999999999</v>
      </c>
      <c r="X9" s="88">
        <v>109.286</v>
      </c>
      <c r="Y9" s="88">
        <v>108.151</v>
      </c>
      <c r="Z9" s="88">
        <v>106.503</v>
      </c>
      <c r="AA9" s="88">
        <v>105.869</v>
      </c>
      <c r="AB9" s="88">
        <v>103.57</v>
      </c>
      <c r="AC9" s="88">
        <v>104.28700000000001</v>
      </c>
      <c r="AD9" s="88">
        <v>103.76</v>
      </c>
      <c r="AE9" s="88">
        <v>103.08199999999999</v>
      </c>
      <c r="AF9" s="88">
        <v>102.31399999999999</v>
      </c>
      <c r="AG9" s="88">
        <v>102.146</v>
      </c>
      <c r="AH9" s="88">
        <v>101.42400000000001</v>
      </c>
      <c r="AI9" s="88">
        <v>101.212</v>
      </c>
      <c r="AJ9" s="88">
        <v>101.566</v>
      </c>
      <c r="AK9" s="88">
        <v>102.271</v>
      </c>
      <c r="AL9" s="88">
        <v>101.167</v>
      </c>
      <c r="AM9" s="88">
        <v>100.352</v>
      </c>
      <c r="AN9" s="88">
        <v>99.906000000000006</v>
      </c>
      <c r="AO9" s="88">
        <v>99.375</v>
      </c>
      <c r="AP9" s="88">
        <v>99.572000000000003</v>
      </c>
      <c r="AQ9" s="88">
        <v>99.619</v>
      </c>
      <c r="AR9" s="89">
        <v>98.811999999999998</v>
      </c>
      <c r="AS9" s="89">
        <v>98.66</v>
      </c>
      <c r="AT9" s="89">
        <v>98.754000000000005</v>
      </c>
      <c r="AU9" s="88">
        <v>98.221000000000004</v>
      </c>
      <c r="AV9" s="88">
        <v>98.92</v>
      </c>
      <c r="AW9" s="88">
        <v>99.132999999999996</v>
      </c>
      <c r="AX9" s="90">
        <v>104.126</v>
      </c>
      <c r="AY9" s="90">
        <v>104.116</v>
      </c>
      <c r="AZ9" s="90">
        <v>103.37</v>
      </c>
      <c r="BA9" s="91">
        <v>103.209</v>
      </c>
      <c r="BB9" s="91">
        <v>103.631</v>
      </c>
      <c r="BC9" s="91">
        <v>102.82599999999999</v>
      </c>
      <c r="BD9" s="90">
        <v>102.056</v>
      </c>
      <c r="BE9" s="90">
        <v>101.245</v>
      </c>
      <c r="BF9" s="90">
        <v>100.813</v>
      </c>
      <c r="BG9" s="90">
        <v>100.042</v>
      </c>
      <c r="BH9" s="90">
        <v>100.881</v>
      </c>
      <c r="BI9" s="90">
        <v>102.367</v>
      </c>
      <c r="BJ9" s="89">
        <v>102.178</v>
      </c>
      <c r="BK9" s="89">
        <v>101.65300000000001</v>
      </c>
      <c r="BL9" s="89">
        <v>103.235</v>
      </c>
      <c r="BM9" s="90">
        <v>102.36199999999999</v>
      </c>
      <c r="BN9" s="90">
        <v>102.494</v>
      </c>
      <c r="BO9" s="90">
        <v>102.093</v>
      </c>
      <c r="BP9" s="90">
        <v>100.373</v>
      </c>
      <c r="BQ9" s="90">
        <v>101.229</v>
      </c>
      <c r="BR9" s="90">
        <v>99.409000000000006</v>
      </c>
      <c r="BS9" s="92">
        <f>100745/1000</f>
        <v>100.745</v>
      </c>
      <c r="BT9" s="89">
        <v>101.824</v>
      </c>
      <c r="BU9" s="93">
        <v>102.367</v>
      </c>
      <c r="BV9" s="93">
        <v>106.301</v>
      </c>
      <c r="BW9" s="93">
        <v>105.81100000000001</v>
      </c>
      <c r="BX9" s="93">
        <v>104.723</v>
      </c>
      <c r="BY9" s="93">
        <v>104.072</v>
      </c>
      <c r="BZ9" s="93">
        <v>103.47199999999999</v>
      </c>
      <c r="CA9" s="93">
        <v>102.518</v>
      </c>
      <c r="CB9" s="93">
        <v>102.01600000000001</v>
      </c>
      <c r="CC9" s="93">
        <v>101.26900000000001</v>
      </c>
      <c r="CD9" s="93">
        <v>101.512</v>
      </c>
      <c r="CE9" s="93">
        <v>100.863</v>
      </c>
      <c r="CF9" s="93">
        <v>101.295</v>
      </c>
      <c r="CG9" s="93">
        <v>102.126</v>
      </c>
      <c r="CH9" s="93">
        <v>117.038</v>
      </c>
      <c r="CI9" s="93">
        <v>118.492</v>
      </c>
      <c r="CJ9" s="93">
        <v>117.393</v>
      </c>
      <c r="CK9" s="93">
        <v>118.407</v>
      </c>
      <c r="CL9" s="93">
        <v>117.621</v>
      </c>
      <c r="CM9" s="93">
        <v>116.212</v>
      </c>
      <c r="CN9" s="93">
        <v>115.498</v>
      </c>
      <c r="CO9" s="93">
        <v>115.369</v>
      </c>
      <c r="CP9" s="93">
        <v>115.41800000000001</v>
      </c>
      <c r="CQ9" s="93">
        <v>115.17</v>
      </c>
      <c r="CR9" s="93">
        <v>114.40600000000001</v>
      </c>
      <c r="CS9" s="93">
        <v>114.917</v>
      </c>
      <c r="CT9" s="93">
        <v>114.477</v>
      </c>
      <c r="CU9" s="93">
        <v>113.65</v>
      </c>
      <c r="CV9" s="93">
        <v>112.553</v>
      </c>
      <c r="CW9" s="93">
        <v>110.491</v>
      </c>
      <c r="CX9" s="93">
        <v>110.075</v>
      </c>
      <c r="CY9" s="93">
        <v>109.247</v>
      </c>
      <c r="CZ9" s="93">
        <v>108.502</v>
      </c>
      <c r="DA9" s="93">
        <v>107.80200000000001</v>
      </c>
      <c r="DB9" s="93">
        <v>107.36</v>
      </c>
      <c r="DC9" s="93">
        <v>106.351</v>
      </c>
      <c r="DD9" s="93">
        <v>105.351</v>
      </c>
      <c r="DE9" s="93">
        <v>106.958</v>
      </c>
      <c r="DF9" s="93">
        <v>112.024</v>
      </c>
      <c r="DG9" s="93">
        <v>111.97499999999999</v>
      </c>
      <c r="DH9" s="93">
        <v>110.976</v>
      </c>
      <c r="DI9" s="93">
        <v>109.705</v>
      </c>
      <c r="DJ9" s="93">
        <v>109.56699999999999</v>
      </c>
      <c r="DK9" s="93">
        <v>108.96899999999999</v>
      </c>
      <c r="DL9" s="93">
        <v>107.742</v>
      </c>
      <c r="DM9" s="93">
        <v>107.762</v>
      </c>
      <c r="DN9" s="93">
        <v>107.91200000000001</v>
      </c>
      <c r="DO9" s="88">
        <v>109.78700000000001</v>
      </c>
      <c r="DP9" s="88">
        <v>108.95099999999999</v>
      </c>
      <c r="DQ9" s="88">
        <v>115.616</v>
      </c>
      <c r="DR9" s="88">
        <v>116.226</v>
      </c>
      <c r="DS9" s="88">
        <v>118.524</v>
      </c>
      <c r="DT9" s="88">
        <v>117.336</v>
      </c>
      <c r="DU9" s="135">
        <v>116.813</v>
      </c>
      <c r="DV9" s="135">
        <v>115.111</v>
      </c>
      <c r="DW9" s="135">
        <v>115.033</v>
      </c>
      <c r="DX9" s="135">
        <v>114.792</v>
      </c>
      <c r="DY9" s="135">
        <v>114.81699999999999</v>
      </c>
      <c r="DZ9" s="135">
        <v>116.22499999999999</v>
      </c>
      <c r="EA9" s="145">
        <v>115.848</v>
      </c>
    </row>
    <row r="10" spans="1:131" s="8" customFormat="1" ht="16" customHeight="1" x14ac:dyDescent="0.25">
      <c r="A10" s="66" t="s">
        <v>39</v>
      </c>
      <c r="B10" s="82">
        <v>552.89740000000006</v>
      </c>
      <c r="C10" s="82">
        <v>548.40305000000001</v>
      </c>
      <c r="D10" s="82">
        <v>545.82697999999993</v>
      </c>
      <c r="E10" s="82">
        <v>548.30763999999999</v>
      </c>
      <c r="F10" s="82">
        <v>552.4239</v>
      </c>
      <c r="G10" s="82">
        <v>545.91372000000001</v>
      </c>
      <c r="H10" s="82">
        <v>544.33000000000004</v>
      </c>
      <c r="I10" s="82">
        <v>543.92100000000005</v>
      </c>
      <c r="J10" s="82">
        <v>541.99099999999999</v>
      </c>
      <c r="K10" s="82">
        <v>535.38699999999994</v>
      </c>
      <c r="L10" s="82">
        <v>540.18499999999995</v>
      </c>
      <c r="M10" s="82">
        <v>539.65099999999995</v>
      </c>
      <c r="N10" s="82">
        <v>538.36699999999996</v>
      </c>
      <c r="O10" s="82">
        <v>535.21799999999996</v>
      </c>
      <c r="P10" s="82">
        <v>529.41200000000003</v>
      </c>
      <c r="Q10" s="82">
        <v>530.71799999999996</v>
      </c>
      <c r="R10" s="82">
        <v>534.16399999999999</v>
      </c>
      <c r="S10" s="82">
        <v>529.01499999999999</v>
      </c>
      <c r="T10" s="82">
        <v>528.07299999999998</v>
      </c>
      <c r="U10" s="82">
        <v>525.24400000000003</v>
      </c>
      <c r="V10" s="82">
        <v>524.43100000000004</v>
      </c>
      <c r="W10" s="82">
        <v>514.18700000000001</v>
      </c>
      <c r="X10" s="82">
        <v>522.60400000000004</v>
      </c>
      <c r="Y10" s="82">
        <v>513.18600000000004</v>
      </c>
      <c r="Z10" s="82">
        <v>505.00200000000001</v>
      </c>
      <c r="AA10" s="82">
        <v>504.82499999999999</v>
      </c>
      <c r="AB10" s="82">
        <v>501.65</v>
      </c>
      <c r="AC10" s="82">
        <v>499.86099999999999</v>
      </c>
      <c r="AD10" s="82">
        <v>500.61500000000001</v>
      </c>
      <c r="AE10" s="82">
        <v>494.98399999999998</v>
      </c>
      <c r="AF10" s="82">
        <v>491.28199999999998</v>
      </c>
      <c r="AG10" s="82">
        <v>489.1</v>
      </c>
      <c r="AH10" s="82">
        <v>488.26100000000002</v>
      </c>
      <c r="AI10" s="82">
        <v>482.541</v>
      </c>
      <c r="AJ10" s="82">
        <v>484.06299999999999</v>
      </c>
      <c r="AK10" s="82">
        <v>484.71100000000001</v>
      </c>
      <c r="AL10" s="82">
        <v>481.36</v>
      </c>
      <c r="AM10" s="82">
        <v>481.10500000000002</v>
      </c>
      <c r="AN10" s="82">
        <v>479.21499999999997</v>
      </c>
      <c r="AO10" s="82">
        <v>476.56799999999998</v>
      </c>
      <c r="AP10" s="82">
        <v>478.60500000000002</v>
      </c>
      <c r="AQ10" s="82">
        <v>475.255</v>
      </c>
      <c r="AR10" s="83">
        <v>471.53500000000003</v>
      </c>
      <c r="AS10" s="83">
        <v>466.87799999999999</v>
      </c>
      <c r="AT10" s="83">
        <v>464.72699999999998</v>
      </c>
      <c r="AU10" s="82">
        <v>459.57400000000001</v>
      </c>
      <c r="AV10" s="82">
        <v>461.274</v>
      </c>
      <c r="AW10" s="82">
        <v>466.94099999999997</v>
      </c>
      <c r="AX10" s="84">
        <v>495.17200000000003</v>
      </c>
      <c r="AY10" s="84">
        <v>497.68900000000002</v>
      </c>
      <c r="AZ10" s="84">
        <v>497.42599999999999</v>
      </c>
      <c r="BA10" s="85">
        <v>521.72699999999998</v>
      </c>
      <c r="BB10" s="85">
        <v>493.67399999999998</v>
      </c>
      <c r="BC10" s="85">
        <v>487.57100000000003</v>
      </c>
      <c r="BD10" s="84">
        <v>486.13499999999999</v>
      </c>
      <c r="BE10" s="84">
        <v>483.56200000000001</v>
      </c>
      <c r="BF10" s="84">
        <v>481.00700000000001</v>
      </c>
      <c r="BG10" s="84">
        <v>478.15199999999999</v>
      </c>
      <c r="BH10" s="84">
        <v>480.56</v>
      </c>
      <c r="BI10" s="84">
        <v>479.41800000000001</v>
      </c>
      <c r="BJ10" s="83">
        <v>491.298</v>
      </c>
      <c r="BK10" s="83">
        <v>489.66199999999998</v>
      </c>
      <c r="BL10" s="83">
        <v>489.38799999999998</v>
      </c>
      <c r="BM10" s="84">
        <v>492.47500000000002</v>
      </c>
      <c r="BN10" s="84">
        <v>489.79899999999998</v>
      </c>
      <c r="BO10" s="84">
        <v>486.70800000000003</v>
      </c>
      <c r="BP10" s="84">
        <v>473.34300000000002</v>
      </c>
      <c r="BQ10" s="84">
        <v>483.36599999999999</v>
      </c>
      <c r="BR10" s="84">
        <v>480.19600000000003</v>
      </c>
      <c r="BS10" s="86">
        <f>477626/1000</f>
        <v>477.62599999999998</v>
      </c>
      <c r="BT10" s="83">
        <v>482.57900000000001</v>
      </c>
      <c r="BU10" s="87">
        <v>480.95699999999999</v>
      </c>
      <c r="BV10" s="87">
        <v>491.49299999999999</v>
      </c>
      <c r="BW10" s="87">
        <v>493.12400000000002</v>
      </c>
      <c r="BX10" s="87">
        <v>488.82499999999999</v>
      </c>
      <c r="BY10" s="87">
        <v>487.14499999999998</v>
      </c>
      <c r="BZ10" s="87">
        <v>489.762</v>
      </c>
      <c r="CA10" s="87">
        <v>485.99700000000001</v>
      </c>
      <c r="CB10" s="87">
        <v>486.76600000000002</v>
      </c>
      <c r="CC10" s="87">
        <v>483.85599999999999</v>
      </c>
      <c r="CD10" s="87">
        <v>482.447</v>
      </c>
      <c r="CE10" s="87">
        <v>474.88799999999998</v>
      </c>
      <c r="CF10" s="87">
        <v>480.59</v>
      </c>
      <c r="CG10" s="87">
        <v>478.92700000000002</v>
      </c>
      <c r="CH10" s="87">
        <v>527.02300000000002</v>
      </c>
      <c r="CI10" s="87">
        <v>552.52</v>
      </c>
      <c r="CJ10" s="87">
        <v>563.96100000000001</v>
      </c>
      <c r="CK10" s="87">
        <v>560.03700000000003</v>
      </c>
      <c r="CL10" s="87">
        <v>564.16800000000001</v>
      </c>
      <c r="CM10" s="87">
        <v>566.77700000000004</v>
      </c>
      <c r="CN10" s="87">
        <v>569.81200000000001</v>
      </c>
      <c r="CO10" s="87">
        <v>563.73299999999995</v>
      </c>
      <c r="CP10" s="87">
        <v>566.11400000000003</v>
      </c>
      <c r="CQ10" s="87">
        <v>557.44500000000005</v>
      </c>
      <c r="CR10" s="87">
        <v>560.51099999999997</v>
      </c>
      <c r="CS10" s="87">
        <v>557.99599999999998</v>
      </c>
      <c r="CT10" s="87">
        <v>555.70799999999997</v>
      </c>
      <c r="CU10" s="87">
        <v>552.74699999999996</v>
      </c>
      <c r="CV10" s="87">
        <v>547.31799999999998</v>
      </c>
      <c r="CW10" s="87">
        <v>540.971</v>
      </c>
      <c r="CX10" s="87">
        <v>541.04</v>
      </c>
      <c r="CY10" s="87">
        <v>539.98099999999999</v>
      </c>
      <c r="CZ10" s="87">
        <v>536.09199999999998</v>
      </c>
      <c r="DA10" s="87">
        <v>530.94899999999996</v>
      </c>
      <c r="DB10" s="87">
        <v>521.12300000000005</v>
      </c>
      <c r="DC10" s="87">
        <v>509.71100000000001</v>
      </c>
      <c r="DD10" s="87">
        <v>508.70100000000002</v>
      </c>
      <c r="DE10" s="87">
        <v>504.93900000000002</v>
      </c>
      <c r="DF10" s="87">
        <v>510.52600000000001</v>
      </c>
      <c r="DG10" s="87">
        <v>531.24800000000005</v>
      </c>
      <c r="DH10" s="87">
        <v>529.01400000000001</v>
      </c>
      <c r="DI10" s="87">
        <v>522.93499999999995</v>
      </c>
      <c r="DJ10" s="87">
        <v>521.327</v>
      </c>
      <c r="DK10" s="87">
        <v>524.74400000000003</v>
      </c>
      <c r="DL10" s="87">
        <v>522.36</v>
      </c>
      <c r="DM10" s="87">
        <v>518.76800000000003</v>
      </c>
      <c r="DN10" s="87">
        <v>515.58199999999999</v>
      </c>
      <c r="DO10" s="82">
        <v>511.315</v>
      </c>
      <c r="DP10" s="82">
        <v>511.41500000000002</v>
      </c>
      <c r="DQ10" s="82">
        <v>512.31200000000001</v>
      </c>
      <c r="DR10" s="82">
        <v>545.56500000000005</v>
      </c>
      <c r="DS10" s="82">
        <v>547.48599999999999</v>
      </c>
      <c r="DT10" s="82">
        <v>542.58399999999995</v>
      </c>
      <c r="DU10" s="82">
        <v>544.12400000000002</v>
      </c>
      <c r="DV10" s="82">
        <v>544.89300000000003</v>
      </c>
      <c r="DW10" s="82">
        <v>546.85500000000002</v>
      </c>
      <c r="DX10" s="82">
        <v>547.48</v>
      </c>
      <c r="DY10" s="82">
        <v>542.58900000000006</v>
      </c>
      <c r="DZ10" s="82">
        <v>544.89200000000005</v>
      </c>
      <c r="EA10" s="144">
        <v>539.495</v>
      </c>
    </row>
    <row r="11" spans="1:131" s="8" customFormat="1" ht="16" customHeight="1" x14ac:dyDescent="0.25">
      <c r="A11" s="51" t="s">
        <v>5</v>
      </c>
      <c r="B11" s="88">
        <v>70.029499999999999</v>
      </c>
      <c r="C11" s="88">
        <v>69.824789999999993</v>
      </c>
      <c r="D11" s="88">
        <v>70.14537</v>
      </c>
      <c r="E11" s="88">
        <v>70.567899999999995</v>
      </c>
      <c r="F11" s="88">
        <v>71.21414</v>
      </c>
      <c r="G11" s="88">
        <v>71.431359999999998</v>
      </c>
      <c r="H11" s="88">
        <v>72.236999999999995</v>
      </c>
      <c r="I11" s="88">
        <v>70.096000000000004</v>
      </c>
      <c r="J11" s="88">
        <v>70.113</v>
      </c>
      <c r="K11" s="88">
        <v>70.498999999999995</v>
      </c>
      <c r="L11" s="88">
        <v>70.381</v>
      </c>
      <c r="M11" s="88">
        <v>70.751000000000005</v>
      </c>
      <c r="N11" s="88">
        <v>71.02</v>
      </c>
      <c r="O11" s="88">
        <v>71.010000000000005</v>
      </c>
      <c r="P11" s="88">
        <v>70.388999999999996</v>
      </c>
      <c r="Q11" s="88">
        <v>70.260999999999996</v>
      </c>
      <c r="R11" s="88">
        <v>70.347999999999999</v>
      </c>
      <c r="S11" s="88">
        <v>69.697999999999993</v>
      </c>
      <c r="T11" s="88">
        <v>69.242999999999995</v>
      </c>
      <c r="U11" s="88">
        <v>68.741</v>
      </c>
      <c r="V11" s="88">
        <v>68.055999999999997</v>
      </c>
      <c r="W11" s="88">
        <v>67.352999999999994</v>
      </c>
      <c r="X11" s="88">
        <v>67.358000000000004</v>
      </c>
      <c r="Y11" s="88">
        <v>67.531000000000006</v>
      </c>
      <c r="Z11" s="88">
        <v>66.322000000000003</v>
      </c>
      <c r="AA11" s="88">
        <v>66.549000000000007</v>
      </c>
      <c r="AB11" s="88">
        <v>66.093000000000004</v>
      </c>
      <c r="AC11" s="88">
        <v>66.195999999999998</v>
      </c>
      <c r="AD11" s="88">
        <v>65.542000000000002</v>
      </c>
      <c r="AE11" s="88">
        <v>65.665999999999997</v>
      </c>
      <c r="AF11" s="88">
        <v>66.616</v>
      </c>
      <c r="AG11" s="88">
        <v>66.825999999999993</v>
      </c>
      <c r="AH11" s="88">
        <v>66.144999999999996</v>
      </c>
      <c r="AI11" s="88">
        <v>65.355999999999995</v>
      </c>
      <c r="AJ11" s="88">
        <v>66.403000000000006</v>
      </c>
      <c r="AK11" s="88">
        <v>66.551000000000002</v>
      </c>
      <c r="AL11" s="88">
        <v>66.194999999999993</v>
      </c>
      <c r="AM11" s="88">
        <v>66.119</v>
      </c>
      <c r="AN11" s="88">
        <v>65.923000000000002</v>
      </c>
      <c r="AO11" s="88">
        <v>66.19</v>
      </c>
      <c r="AP11" s="88">
        <v>65.983999999999995</v>
      </c>
      <c r="AQ11" s="88">
        <v>65.248000000000005</v>
      </c>
      <c r="AR11" s="89">
        <v>64.582999999999998</v>
      </c>
      <c r="AS11" s="89">
        <v>63.951999999999998</v>
      </c>
      <c r="AT11" s="89">
        <v>63.99</v>
      </c>
      <c r="AU11" s="88">
        <v>63.603999999999999</v>
      </c>
      <c r="AV11" s="88">
        <v>63.652000000000001</v>
      </c>
      <c r="AW11" s="88">
        <v>64.39</v>
      </c>
      <c r="AX11" s="90">
        <v>67.774000000000001</v>
      </c>
      <c r="AY11" s="90">
        <v>67.997</v>
      </c>
      <c r="AZ11" s="90">
        <v>66.858000000000004</v>
      </c>
      <c r="BA11" s="91">
        <v>66.239000000000004</v>
      </c>
      <c r="BB11" s="91">
        <v>67.126999999999995</v>
      </c>
      <c r="BC11" s="91">
        <v>66.861999999999995</v>
      </c>
      <c r="BD11" s="90">
        <v>66.61</v>
      </c>
      <c r="BE11" s="90">
        <v>66.08</v>
      </c>
      <c r="BF11" s="90">
        <v>65.828000000000003</v>
      </c>
      <c r="BG11" s="90">
        <v>65.787000000000006</v>
      </c>
      <c r="BH11" s="90">
        <v>64.994</v>
      </c>
      <c r="BI11" s="90">
        <v>64.938000000000002</v>
      </c>
      <c r="BJ11" s="89">
        <v>66.430999999999997</v>
      </c>
      <c r="BK11" s="89">
        <v>66.494</v>
      </c>
      <c r="BL11" s="89">
        <v>65.385000000000005</v>
      </c>
      <c r="BM11" s="90">
        <v>64.968000000000004</v>
      </c>
      <c r="BN11" s="90">
        <v>66.007000000000005</v>
      </c>
      <c r="BO11" s="90">
        <v>65.590999999999994</v>
      </c>
      <c r="BP11" s="90">
        <v>64.531000000000006</v>
      </c>
      <c r="BQ11" s="90">
        <v>65.525000000000006</v>
      </c>
      <c r="BR11" s="90">
        <v>65.451999999999998</v>
      </c>
      <c r="BS11" s="92">
        <f>65007/1000</f>
        <v>65.007000000000005</v>
      </c>
      <c r="BT11" s="89">
        <v>65.582999999999998</v>
      </c>
      <c r="BU11" s="93">
        <v>65.903999999999996</v>
      </c>
      <c r="BV11" s="93">
        <v>68.149000000000001</v>
      </c>
      <c r="BW11" s="93">
        <v>67.884</v>
      </c>
      <c r="BX11" s="93">
        <v>67.411000000000001</v>
      </c>
      <c r="BY11" s="93">
        <v>67.457999999999998</v>
      </c>
      <c r="BZ11" s="93">
        <v>67.61</v>
      </c>
      <c r="CA11" s="93">
        <v>67.204999999999998</v>
      </c>
      <c r="CB11" s="93">
        <v>66.804000000000002</v>
      </c>
      <c r="CC11" s="93">
        <v>66.488</v>
      </c>
      <c r="CD11" s="93">
        <v>66.620999999999995</v>
      </c>
      <c r="CE11" s="93">
        <v>66.442999999999998</v>
      </c>
      <c r="CF11" s="93">
        <v>66.576999999999998</v>
      </c>
      <c r="CG11" s="93">
        <v>67.128</v>
      </c>
      <c r="CH11" s="93">
        <v>74.986999999999995</v>
      </c>
      <c r="CI11" s="93">
        <v>76.265000000000001</v>
      </c>
      <c r="CJ11" s="93">
        <v>76.034000000000006</v>
      </c>
      <c r="CK11" s="93">
        <v>76.289000000000001</v>
      </c>
      <c r="CL11" s="93">
        <v>76.75</v>
      </c>
      <c r="CM11" s="93">
        <v>76.335999999999999</v>
      </c>
      <c r="CN11" s="93">
        <v>75.503</v>
      </c>
      <c r="CO11" s="93">
        <v>75.081999999999994</v>
      </c>
      <c r="CP11" s="93">
        <v>74.86</v>
      </c>
      <c r="CQ11" s="93">
        <v>74.942999999999998</v>
      </c>
      <c r="CR11" s="93">
        <v>74.98</v>
      </c>
      <c r="CS11" s="93">
        <v>75.171999999999997</v>
      </c>
      <c r="CT11" s="93">
        <v>75.037999999999997</v>
      </c>
      <c r="CU11" s="93">
        <v>74.564999999999998</v>
      </c>
      <c r="CV11" s="93">
        <v>74.334999999999994</v>
      </c>
      <c r="CW11" s="93">
        <v>74.037999999999997</v>
      </c>
      <c r="CX11" s="93">
        <v>73.352000000000004</v>
      </c>
      <c r="CY11" s="93">
        <v>72.869</v>
      </c>
      <c r="CZ11" s="93">
        <v>72.275999999999996</v>
      </c>
      <c r="DA11" s="93">
        <v>71.891000000000005</v>
      </c>
      <c r="DB11" s="93">
        <v>71.899000000000001</v>
      </c>
      <c r="DC11" s="93">
        <v>70.501000000000005</v>
      </c>
      <c r="DD11" s="93">
        <v>70.367999999999995</v>
      </c>
      <c r="DE11" s="93">
        <v>70.603999999999999</v>
      </c>
      <c r="DF11" s="93">
        <v>75.525000000000006</v>
      </c>
      <c r="DG11" s="93">
        <v>75.709999999999994</v>
      </c>
      <c r="DH11" s="93">
        <v>76.016000000000005</v>
      </c>
      <c r="DI11" s="93">
        <v>75.724000000000004</v>
      </c>
      <c r="DJ11" s="93">
        <v>75.534000000000006</v>
      </c>
      <c r="DK11" s="93">
        <v>75.022999999999996</v>
      </c>
      <c r="DL11" s="93">
        <v>74.902000000000001</v>
      </c>
      <c r="DM11" s="93">
        <v>75.113</v>
      </c>
      <c r="DN11" s="93">
        <v>74.787999999999997</v>
      </c>
      <c r="DO11" s="88">
        <v>74.739000000000004</v>
      </c>
      <c r="DP11" s="88">
        <v>74.850999999999999</v>
      </c>
      <c r="DQ11" s="88">
        <v>78.126000000000005</v>
      </c>
      <c r="DR11" s="88">
        <v>79.287000000000006</v>
      </c>
      <c r="DS11" s="88">
        <v>80.174000000000007</v>
      </c>
      <c r="DT11" s="88">
        <v>79.626999999999995</v>
      </c>
      <c r="DU11" s="135">
        <v>79.960999999999999</v>
      </c>
      <c r="DV11" s="135">
        <v>79.804000000000002</v>
      </c>
      <c r="DW11" s="135">
        <v>79.811000000000007</v>
      </c>
      <c r="DX11" s="135">
        <v>79.816000000000003</v>
      </c>
      <c r="DY11" s="135">
        <v>79.759</v>
      </c>
      <c r="DZ11" s="135">
        <v>79.988</v>
      </c>
      <c r="EA11" s="145">
        <v>80.275000000000006</v>
      </c>
    </row>
    <row r="12" spans="1:131" s="8" customFormat="1" ht="16" customHeight="1" x14ac:dyDescent="0.25">
      <c r="A12" s="66" t="s">
        <v>6</v>
      </c>
      <c r="B12" s="82">
        <v>177.71340000000004</v>
      </c>
      <c r="C12" s="82">
        <v>177.98384999999999</v>
      </c>
      <c r="D12" s="82">
        <v>178.02822</v>
      </c>
      <c r="E12" s="82">
        <v>178.35677999999999</v>
      </c>
      <c r="F12" s="82">
        <v>178.08363999999997</v>
      </c>
      <c r="G12" s="82">
        <v>176.99739</v>
      </c>
      <c r="H12" s="82">
        <v>175.71199999999999</v>
      </c>
      <c r="I12" s="82">
        <v>175.13</v>
      </c>
      <c r="J12" s="82">
        <v>174.32499999999999</v>
      </c>
      <c r="K12" s="82">
        <v>172.38800000000001</v>
      </c>
      <c r="L12" s="82">
        <v>172.31700000000001</v>
      </c>
      <c r="M12" s="82">
        <v>172.39400000000001</v>
      </c>
      <c r="N12" s="82">
        <v>171.09800000000001</v>
      </c>
      <c r="O12" s="82">
        <v>170.23400000000001</v>
      </c>
      <c r="P12" s="82">
        <v>170.06399999999999</v>
      </c>
      <c r="Q12" s="82">
        <v>169.60599999999999</v>
      </c>
      <c r="R12" s="82">
        <v>170.065</v>
      </c>
      <c r="S12" s="82">
        <v>169.30199999999999</v>
      </c>
      <c r="T12" s="82">
        <v>168.452</v>
      </c>
      <c r="U12" s="82">
        <v>167.858</v>
      </c>
      <c r="V12" s="82">
        <v>168.035</v>
      </c>
      <c r="W12" s="82">
        <v>167.47900000000001</v>
      </c>
      <c r="X12" s="82">
        <v>167.85900000000001</v>
      </c>
      <c r="Y12" s="82">
        <v>167.785</v>
      </c>
      <c r="Z12" s="82">
        <v>165.86199999999999</v>
      </c>
      <c r="AA12" s="82">
        <v>165.07400000000001</v>
      </c>
      <c r="AB12" s="82">
        <v>162.465</v>
      </c>
      <c r="AC12" s="82">
        <v>163.02000000000001</v>
      </c>
      <c r="AD12" s="82">
        <v>163.321</v>
      </c>
      <c r="AE12" s="82">
        <v>162.67699999999999</v>
      </c>
      <c r="AF12" s="82">
        <v>161.26900000000001</v>
      </c>
      <c r="AG12" s="82">
        <v>161.08000000000001</v>
      </c>
      <c r="AH12" s="82">
        <v>160.471</v>
      </c>
      <c r="AI12" s="82">
        <v>160.19999999999999</v>
      </c>
      <c r="AJ12" s="82">
        <v>161.077</v>
      </c>
      <c r="AK12" s="82">
        <v>161.262</v>
      </c>
      <c r="AL12" s="82">
        <v>161.12299999999999</v>
      </c>
      <c r="AM12" s="82">
        <v>161.22300000000001</v>
      </c>
      <c r="AN12" s="82">
        <v>159.71799999999999</v>
      </c>
      <c r="AO12" s="82">
        <v>160.07499999999999</v>
      </c>
      <c r="AP12" s="82">
        <v>159.971</v>
      </c>
      <c r="AQ12" s="82">
        <v>159.49100000000001</v>
      </c>
      <c r="AR12" s="83">
        <v>157.577</v>
      </c>
      <c r="AS12" s="83">
        <v>156.59100000000001</v>
      </c>
      <c r="AT12" s="83">
        <v>156.952</v>
      </c>
      <c r="AU12" s="82">
        <v>155.745</v>
      </c>
      <c r="AV12" s="82">
        <v>156.387</v>
      </c>
      <c r="AW12" s="82">
        <v>157.16999999999999</v>
      </c>
      <c r="AX12" s="84">
        <v>166.511</v>
      </c>
      <c r="AY12" s="84">
        <v>165.97300000000001</v>
      </c>
      <c r="AZ12" s="84">
        <v>165.92099999999999</v>
      </c>
      <c r="BA12" s="85">
        <v>165.779</v>
      </c>
      <c r="BB12" s="85">
        <v>165.42400000000001</v>
      </c>
      <c r="BC12" s="85">
        <v>165.08699999999999</v>
      </c>
      <c r="BD12" s="84">
        <v>164.23500000000001</v>
      </c>
      <c r="BE12" s="84">
        <v>163.90799999999999</v>
      </c>
      <c r="BF12" s="84">
        <v>163.43299999999999</v>
      </c>
      <c r="BG12" s="84">
        <v>162.803</v>
      </c>
      <c r="BH12" s="84">
        <v>163.51499999999999</v>
      </c>
      <c r="BI12" s="84">
        <v>164.40700000000001</v>
      </c>
      <c r="BJ12" s="83">
        <v>166.303</v>
      </c>
      <c r="BK12" s="83">
        <v>167.77500000000001</v>
      </c>
      <c r="BL12" s="83">
        <v>168.25299999999999</v>
      </c>
      <c r="BM12" s="84">
        <v>169.012</v>
      </c>
      <c r="BN12" s="84">
        <v>169.042</v>
      </c>
      <c r="BO12" s="84">
        <v>167.78</v>
      </c>
      <c r="BP12" s="84">
        <v>164.30099999999999</v>
      </c>
      <c r="BQ12" s="84">
        <v>167.37100000000001</v>
      </c>
      <c r="BR12" s="84">
        <v>165.011</v>
      </c>
      <c r="BS12" s="86">
        <f>165629/1000</f>
        <v>165.62899999999999</v>
      </c>
      <c r="BT12" s="83">
        <v>166.52799999999999</v>
      </c>
      <c r="BU12" s="87">
        <v>166.74600000000001</v>
      </c>
      <c r="BV12" s="87">
        <v>173.88300000000001</v>
      </c>
      <c r="BW12" s="87">
        <v>174.649</v>
      </c>
      <c r="BX12" s="87">
        <v>173.32900000000001</v>
      </c>
      <c r="BY12" s="87">
        <v>173.67599999999999</v>
      </c>
      <c r="BZ12" s="87">
        <v>173.27799999999999</v>
      </c>
      <c r="CA12" s="87">
        <v>173.602</v>
      </c>
      <c r="CB12" s="87">
        <v>172.59800000000001</v>
      </c>
      <c r="CC12" s="87">
        <v>171.96299999999999</v>
      </c>
      <c r="CD12" s="87">
        <v>172.54599999999999</v>
      </c>
      <c r="CE12" s="87">
        <v>172.55500000000001</v>
      </c>
      <c r="CF12" s="87">
        <v>173.72499999999999</v>
      </c>
      <c r="CG12" s="87">
        <v>174.148</v>
      </c>
      <c r="CH12" s="87">
        <v>202.48500000000001</v>
      </c>
      <c r="CI12" s="87">
        <v>199.16300000000001</v>
      </c>
      <c r="CJ12" s="87">
        <v>197.732</v>
      </c>
      <c r="CK12" s="87">
        <v>198.37799999999999</v>
      </c>
      <c r="CL12" s="87">
        <v>196.75299999999999</v>
      </c>
      <c r="CM12" s="87">
        <v>196.571</v>
      </c>
      <c r="CN12" s="87">
        <v>196.512</v>
      </c>
      <c r="CO12" s="87">
        <v>196.74799999999999</v>
      </c>
      <c r="CP12" s="87">
        <v>196.119</v>
      </c>
      <c r="CQ12" s="87">
        <v>192.393</v>
      </c>
      <c r="CR12" s="87">
        <v>192.32400000000001</v>
      </c>
      <c r="CS12" s="87">
        <v>191.76499999999999</v>
      </c>
      <c r="CT12" s="87">
        <v>191.04</v>
      </c>
      <c r="CU12" s="87">
        <v>189.643</v>
      </c>
      <c r="CV12" s="87">
        <v>187.96899999999999</v>
      </c>
      <c r="CW12" s="87">
        <v>185.303</v>
      </c>
      <c r="CX12" s="87">
        <v>183.12700000000001</v>
      </c>
      <c r="CY12" s="87">
        <v>184.41399999999999</v>
      </c>
      <c r="CZ12" s="87">
        <v>183.36500000000001</v>
      </c>
      <c r="DA12" s="87">
        <v>182.95599999999999</v>
      </c>
      <c r="DB12" s="87">
        <v>180.37299999999999</v>
      </c>
      <c r="DC12" s="87">
        <v>176.917</v>
      </c>
      <c r="DD12" s="87">
        <v>177.12700000000001</v>
      </c>
      <c r="DE12" s="87">
        <v>177.15100000000001</v>
      </c>
      <c r="DF12" s="87">
        <v>187.255</v>
      </c>
      <c r="DG12" s="87">
        <v>188.626</v>
      </c>
      <c r="DH12" s="87">
        <v>187.55099999999999</v>
      </c>
      <c r="DI12" s="87">
        <v>188.256</v>
      </c>
      <c r="DJ12" s="87">
        <v>189.26499999999999</v>
      </c>
      <c r="DK12" s="87">
        <v>190.67400000000001</v>
      </c>
      <c r="DL12" s="87">
        <v>188.83600000000001</v>
      </c>
      <c r="DM12" s="87">
        <v>189.071</v>
      </c>
      <c r="DN12" s="87">
        <v>188.54599999999999</v>
      </c>
      <c r="DO12" s="82">
        <v>192.00200000000001</v>
      </c>
      <c r="DP12" s="82">
        <v>194.876</v>
      </c>
      <c r="DQ12" s="82">
        <v>203.643</v>
      </c>
      <c r="DR12" s="82">
        <v>203.268</v>
      </c>
      <c r="DS12" s="82">
        <v>208.99700000000001</v>
      </c>
      <c r="DT12" s="82">
        <v>206.988</v>
      </c>
      <c r="DU12" s="82">
        <v>207.30099999999999</v>
      </c>
      <c r="DV12" s="82">
        <v>205.28899999999999</v>
      </c>
      <c r="DW12" s="82">
        <v>205.833</v>
      </c>
      <c r="DX12" s="82">
        <v>205.834</v>
      </c>
      <c r="DY12" s="82">
        <v>206.82900000000001</v>
      </c>
      <c r="DZ12" s="82">
        <v>206.86799999999999</v>
      </c>
      <c r="EA12" s="144">
        <v>206.27099999999999</v>
      </c>
    </row>
    <row r="13" spans="1:131" s="8" customFormat="1" ht="16" customHeight="1" x14ac:dyDescent="0.25">
      <c r="A13" s="51" t="s">
        <v>7</v>
      </c>
      <c r="B13" s="88">
        <v>253.28291999999999</v>
      </c>
      <c r="C13" s="88">
        <v>252.22791999999998</v>
      </c>
      <c r="D13" s="88">
        <v>254.35332</v>
      </c>
      <c r="E13" s="88">
        <v>253.66984999999997</v>
      </c>
      <c r="F13" s="88">
        <v>254.67224999999999</v>
      </c>
      <c r="G13" s="88">
        <v>252.78022000000001</v>
      </c>
      <c r="H13" s="88">
        <v>250.107</v>
      </c>
      <c r="I13" s="88">
        <v>248.12</v>
      </c>
      <c r="J13" s="88">
        <v>247.52199999999999</v>
      </c>
      <c r="K13" s="88">
        <v>246.16300000000001</v>
      </c>
      <c r="L13" s="88">
        <v>248.71600000000001</v>
      </c>
      <c r="M13" s="88">
        <v>248.56700000000001</v>
      </c>
      <c r="N13" s="88">
        <v>250.678</v>
      </c>
      <c r="O13" s="88">
        <v>244.44499999999999</v>
      </c>
      <c r="P13" s="88">
        <v>249.149</v>
      </c>
      <c r="Q13" s="88">
        <v>247.49299999999999</v>
      </c>
      <c r="R13" s="88">
        <v>247.04300000000001</v>
      </c>
      <c r="S13" s="88">
        <v>245.37899999999999</v>
      </c>
      <c r="T13" s="88">
        <v>242.27199999999999</v>
      </c>
      <c r="U13" s="88">
        <v>241.55699999999999</v>
      </c>
      <c r="V13" s="88">
        <v>240.459</v>
      </c>
      <c r="W13" s="88">
        <v>238.75700000000001</v>
      </c>
      <c r="X13" s="88">
        <v>241.261</v>
      </c>
      <c r="Y13" s="88">
        <v>242.14500000000001</v>
      </c>
      <c r="Z13" s="88">
        <v>238.857</v>
      </c>
      <c r="AA13" s="88">
        <v>237.232</v>
      </c>
      <c r="AB13" s="88">
        <v>238.11</v>
      </c>
      <c r="AC13" s="88">
        <v>238.10300000000001</v>
      </c>
      <c r="AD13" s="88">
        <v>237.43600000000001</v>
      </c>
      <c r="AE13" s="88">
        <v>234.678</v>
      </c>
      <c r="AF13" s="88">
        <v>231.16900000000001</v>
      </c>
      <c r="AG13" s="88">
        <v>229.321</v>
      </c>
      <c r="AH13" s="88">
        <v>228.84800000000001</v>
      </c>
      <c r="AI13" s="88">
        <v>226.65299999999999</v>
      </c>
      <c r="AJ13" s="88">
        <v>228.59</v>
      </c>
      <c r="AK13" s="88">
        <v>229.56100000000001</v>
      </c>
      <c r="AL13" s="88">
        <v>229.989</v>
      </c>
      <c r="AM13" s="88">
        <v>229.446</v>
      </c>
      <c r="AN13" s="88">
        <v>230.947</v>
      </c>
      <c r="AO13" s="88">
        <v>231.14</v>
      </c>
      <c r="AP13" s="88">
        <v>231.39699999999999</v>
      </c>
      <c r="AQ13" s="88">
        <v>231.934</v>
      </c>
      <c r="AR13" s="89">
        <v>228.816</v>
      </c>
      <c r="AS13" s="89">
        <v>228.02</v>
      </c>
      <c r="AT13" s="89">
        <v>227.32300000000001</v>
      </c>
      <c r="AU13" s="88">
        <v>225.285</v>
      </c>
      <c r="AV13" s="88">
        <v>225.82300000000001</v>
      </c>
      <c r="AW13" s="88">
        <v>226.76599999999999</v>
      </c>
      <c r="AX13" s="90">
        <v>235.96299999999999</v>
      </c>
      <c r="AY13" s="90">
        <v>235.215</v>
      </c>
      <c r="AZ13" s="90">
        <v>236.80199999999999</v>
      </c>
      <c r="BA13" s="91">
        <v>236.99700000000001</v>
      </c>
      <c r="BB13" s="91">
        <v>237.83199999999999</v>
      </c>
      <c r="BC13" s="91">
        <v>235.94900000000001</v>
      </c>
      <c r="BD13" s="90">
        <v>233.67599999999999</v>
      </c>
      <c r="BE13" s="90">
        <v>230.887</v>
      </c>
      <c r="BF13" s="90">
        <v>231.44200000000001</v>
      </c>
      <c r="BG13" s="90">
        <v>229.53700000000001</v>
      </c>
      <c r="BH13" s="90">
        <v>229.667</v>
      </c>
      <c r="BI13" s="90">
        <v>230.77500000000001</v>
      </c>
      <c r="BJ13" s="89">
        <v>237.77699999999999</v>
      </c>
      <c r="BK13" s="89">
        <v>236.94200000000001</v>
      </c>
      <c r="BL13" s="89">
        <v>236.78</v>
      </c>
      <c r="BM13" s="90">
        <v>236.09100000000001</v>
      </c>
      <c r="BN13" s="90">
        <v>236.66300000000001</v>
      </c>
      <c r="BO13" s="90">
        <v>235.33</v>
      </c>
      <c r="BP13" s="90">
        <v>228.464</v>
      </c>
      <c r="BQ13" s="90">
        <v>232.142</v>
      </c>
      <c r="BR13" s="90">
        <v>228.01300000000001</v>
      </c>
      <c r="BS13" s="92">
        <f>230086/1000</f>
        <v>230.08600000000001</v>
      </c>
      <c r="BT13" s="89">
        <v>229.34100000000001</v>
      </c>
      <c r="BU13" s="93">
        <v>230.489</v>
      </c>
      <c r="BV13" s="93">
        <v>236.42</v>
      </c>
      <c r="BW13" s="93">
        <v>234.95599999999999</v>
      </c>
      <c r="BX13" s="93">
        <v>237.98</v>
      </c>
      <c r="BY13" s="93">
        <v>237.84800000000001</v>
      </c>
      <c r="BZ13" s="93">
        <v>237.846</v>
      </c>
      <c r="CA13" s="93">
        <v>236.87100000000001</v>
      </c>
      <c r="CB13" s="93">
        <v>233.964</v>
      </c>
      <c r="CC13" s="93">
        <v>232.75399999999999</v>
      </c>
      <c r="CD13" s="93">
        <v>231.173</v>
      </c>
      <c r="CE13" s="93">
        <v>230.06</v>
      </c>
      <c r="CF13" s="93">
        <v>229.65600000000001</v>
      </c>
      <c r="CG13" s="93">
        <v>231.23</v>
      </c>
      <c r="CH13" s="93">
        <v>257.65100000000001</v>
      </c>
      <c r="CI13" s="93">
        <v>257.94</v>
      </c>
      <c r="CJ13" s="93">
        <v>260.09800000000001</v>
      </c>
      <c r="CK13" s="93">
        <v>261.24099999999999</v>
      </c>
      <c r="CL13" s="93">
        <v>261.52999999999997</v>
      </c>
      <c r="CM13" s="93">
        <v>260.16399999999999</v>
      </c>
      <c r="CN13" s="93">
        <v>259.10199999999998</v>
      </c>
      <c r="CO13" s="93">
        <v>256.74</v>
      </c>
      <c r="CP13" s="93">
        <v>253.149</v>
      </c>
      <c r="CQ13" s="93">
        <v>252.541</v>
      </c>
      <c r="CR13" s="93">
        <v>252.21600000000001</v>
      </c>
      <c r="CS13" s="93">
        <v>252.96600000000001</v>
      </c>
      <c r="CT13" s="93">
        <v>253.547</v>
      </c>
      <c r="CU13" s="93">
        <v>251.86600000000001</v>
      </c>
      <c r="CV13" s="93">
        <v>253.18899999999999</v>
      </c>
      <c r="CW13" s="93">
        <v>255.00899999999999</v>
      </c>
      <c r="CX13" s="93">
        <v>255.90100000000001</v>
      </c>
      <c r="CY13" s="93">
        <v>255.393</v>
      </c>
      <c r="CZ13" s="93">
        <v>254.07900000000001</v>
      </c>
      <c r="DA13" s="93">
        <v>253.52500000000001</v>
      </c>
      <c r="DB13" s="93">
        <v>248.75700000000001</v>
      </c>
      <c r="DC13" s="93">
        <v>243.03200000000001</v>
      </c>
      <c r="DD13" s="93">
        <v>242.21199999999999</v>
      </c>
      <c r="DE13" s="93">
        <v>243.869</v>
      </c>
      <c r="DF13" s="93">
        <v>261.81700000000001</v>
      </c>
      <c r="DG13" s="93">
        <v>257.63299999999998</v>
      </c>
      <c r="DH13" s="93">
        <v>258.16899999999998</v>
      </c>
      <c r="DI13" s="93">
        <v>260.22800000000001</v>
      </c>
      <c r="DJ13" s="93">
        <v>261.01600000000002</v>
      </c>
      <c r="DK13" s="93">
        <v>261.03899999999999</v>
      </c>
      <c r="DL13" s="93">
        <v>255.37700000000001</v>
      </c>
      <c r="DM13" s="93">
        <v>254.02500000000001</v>
      </c>
      <c r="DN13" s="93">
        <v>254.113</v>
      </c>
      <c r="DO13" s="88">
        <v>255.43600000000001</v>
      </c>
      <c r="DP13" s="88">
        <v>255.702</v>
      </c>
      <c r="DQ13" s="88">
        <v>268.32900000000001</v>
      </c>
      <c r="DR13" s="88">
        <v>265.64499999999998</v>
      </c>
      <c r="DS13" s="88">
        <v>267.06700000000001</v>
      </c>
      <c r="DT13" s="88">
        <v>264.68</v>
      </c>
      <c r="DU13" s="135">
        <v>264.73200000000003</v>
      </c>
      <c r="DV13" s="135">
        <v>266.16500000000002</v>
      </c>
      <c r="DW13" s="135">
        <v>265.71600000000001</v>
      </c>
      <c r="DX13" s="135">
        <v>265.697</v>
      </c>
      <c r="DY13" s="135">
        <v>265.88900000000001</v>
      </c>
      <c r="DZ13" s="135">
        <v>269.63299999999998</v>
      </c>
      <c r="EA13" s="145">
        <v>261.81799999999998</v>
      </c>
    </row>
    <row r="14" spans="1:131" s="8" customFormat="1" ht="16" customHeight="1" x14ac:dyDescent="0.25">
      <c r="A14" s="66" t="s">
        <v>8</v>
      </c>
      <c r="B14" s="82">
        <v>199.36223999999999</v>
      </c>
      <c r="C14" s="82">
        <v>198.78627</v>
      </c>
      <c r="D14" s="82">
        <v>199.18822</v>
      </c>
      <c r="E14" s="82">
        <v>197.33959999999999</v>
      </c>
      <c r="F14" s="82">
        <v>199.28629999999998</v>
      </c>
      <c r="G14" s="82">
        <v>195.58349999999999</v>
      </c>
      <c r="H14" s="82">
        <v>194.99100000000001</v>
      </c>
      <c r="I14" s="82">
        <v>194.43199999999999</v>
      </c>
      <c r="J14" s="82">
        <v>194.489</v>
      </c>
      <c r="K14" s="82">
        <v>194.52199999999999</v>
      </c>
      <c r="L14" s="82">
        <v>193.024</v>
      </c>
      <c r="M14" s="82">
        <v>191.88399999999999</v>
      </c>
      <c r="N14" s="82">
        <v>191.88200000000001</v>
      </c>
      <c r="O14" s="82">
        <v>189.827</v>
      </c>
      <c r="P14" s="82">
        <v>189.529</v>
      </c>
      <c r="Q14" s="82">
        <v>189.26400000000001</v>
      </c>
      <c r="R14" s="82">
        <v>189.161</v>
      </c>
      <c r="S14" s="82">
        <v>188.66800000000001</v>
      </c>
      <c r="T14" s="82">
        <v>187.678</v>
      </c>
      <c r="U14" s="82">
        <v>186.71899999999999</v>
      </c>
      <c r="V14" s="82">
        <v>184.28700000000001</v>
      </c>
      <c r="W14" s="82">
        <v>183.631</v>
      </c>
      <c r="X14" s="82">
        <v>184.81800000000001</v>
      </c>
      <c r="Y14" s="82">
        <v>184.73099999999999</v>
      </c>
      <c r="Z14" s="82">
        <v>182.251</v>
      </c>
      <c r="AA14" s="82">
        <v>181.47399999999999</v>
      </c>
      <c r="AB14" s="82">
        <v>177.37899999999999</v>
      </c>
      <c r="AC14" s="82">
        <v>179.83699999999999</v>
      </c>
      <c r="AD14" s="82">
        <v>180.00800000000001</v>
      </c>
      <c r="AE14" s="82">
        <v>178.928</v>
      </c>
      <c r="AF14" s="82">
        <v>176.40199999999999</v>
      </c>
      <c r="AG14" s="82">
        <v>175.483</v>
      </c>
      <c r="AH14" s="82">
        <v>175.358</v>
      </c>
      <c r="AI14" s="82">
        <v>174.56299999999999</v>
      </c>
      <c r="AJ14" s="82">
        <v>174.10300000000001</v>
      </c>
      <c r="AK14" s="82">
        <v>174.47900000000001</v>
      </c>
      <c r="AL14" s="82">
        <v>172.917</v>
      </c>
      <c r="AM14" s="82">
        <v>173.28</v>
      </c>
      <c r="AN14" s="82">
        <v>172.05699999999999</v>
      </c>
      <c r="AO14" s="82">
        <v>172.33600000000001</v>
      </c>
      <c r="AP14" s="82">
        <v>172.73</v>
      </c>
      <c r="AQ14" s="82">
        <v>170.80600000000001</v>
      </c>
      <c r="AR14" s="83">
        <v>169.36199999999999</v>
      </c>
      <c r="AS14" s="83">
        <v>168.101</v>
      </c>
      <c r="AT14" s="83">
        <v>171.53899999999999</v>
      </c>
      <c r="AU14" s="82">
        <v>167.166</v>
      </c>
      <c r="AV14" s="82">
        <v>167.62299999999999</v>
      </c>
      <c r="AW14" s="82">
        <v>168.947</v>
      </c>
      <c r="AX14" s="84">
        <v>175.10499999999999</v>
      </c>
      <c r="AY14" s="84">
        <v>175.52</v>
      </c>
      <c r="AZ14" s="84">
        <v>174.84299999999999</v>
      </c>
      <c r="BA14" s="85">
        <v>175.578</v>
      </c>
      <c r="BB14" s="85">
        <v>175.66499999999999</v>
      </c>
      <c r="BC14" s="85">
        <v>173.77199999999999</v>
      </c>
      <c r="BD14" s="84">
        <v>172.244</v>
      </c>
      <c r="BE14" s="84">
        <v>171.16300000000001</v>
      </c>
      <c r="BF14" s="84">
        <v>168.02699999999999</v>
      </c>
      <c r="BG14" s="84">
        <v>167.25299999999999</v>
      </c>
      <c r="BH14" s="84">
        <v>168.73</v>
      </c>
      <c r="BI14" s="84">
        <v>169.541</v>
      </c>
      <c r="BJ14" s="83">
        <v>171.25</v>
      </c>
      <c r="BK14" s="83">
        <v>171.887</v>
      </c>
      <c r="BL14" s="83">
        <v>172.63499999999999</v>
      </c>
      <c r="BM14" s="84">
        <v>172.90299999999999</v>
      </c>
      <c r="BN14" s="84">
        <v>173.494</v>
      </c>
      <c r="BO14" s="84">
        <v>172.80600000000001</v>
      </c>
      <c r="BP14" s="84">
        <v>168.58099999999999</v>
      </c>
      <c r="BQ14" s="84">
        <v>170.24600000000001</v>
      </c>
      <c r="BR14" s="84">
        <v>170.62700000000001</v>
      </c>
      <c r="BS14" s="86">
        <f>171761/1000</f>
        <v>171.761</v>
      </c>
      <c r="BT14" s="83">
        <v>172.17400000000001</v>
      </c>
      <c r="BU14" s="87">
        <v>172.483</v>
      </c>
      <c r="BV14" s="87">
        <v>177.98599999999999</v>
      </c>
      <c r="BW14" s="87">
        <v>177.84200000000001</v>
      </c>
      <c r="BX14" s="87">
        <v>175.274</v>
      </c>
      <c r="BY14" s="87">
        <v>176.15799999999999</v>
      </c>
      <c r="BZ14" s="87">
        <v>177.41300000000001</v>
      </c>
      <c r="CA14" s="87">
        <v>176.542</v>
      </c>
      <c r="CB14" s="87">
        <v>176.12100000000001</v>
      </c>
      <c r="CC14" s="87">
        <v>175.47300000000001</v>
      </c>
      <c r="CD14" s="87">
        <v>175.45099999999999</v>
      </c>
      <c r="CE14" s="87">
        <v>174.441</v>
      </c>
      <c r="CF14" s="87">
        <v>174.60400000000001</v>
      </c>
      <c r="CG14" s="87">
        <v>175.03100000000001</v>
      </c>
      <c r="CH14" s="87">
        <v>192.786</v>
      </c>
      <c r="CI14" s="87">
        <v>196.53200000000001</v>
      </c>
      <c r="CJ14" s="87">
        <v>197.047</v>
      </c>
      <c r="CK14" s="87">
        <v>196.8</v>
      </c>
      <c r="CL14" s="87">
        <v>197.72800000000001</v>
      </c>
      <c r="CM14" s="87">
        <v>195.386</v>
      </c>
      <c r="CN14" s="87">
        <v>194.68700000000001</v>
      </c>
      <c r="CO14" s="87">
        <v>194.28399999999999</v>
      </c>
      <c r="CP14" s="87">
        <v>194.37799999999999</v>
      </c>
      <c r="CQ14" s="87">
        <v>194.18799999999999</v>
      </c>
      <c r="CR14" s="87">
        <v>195.012</v>
      </c>
      <c r="CS14" s="87">
        <v>195.791</v>
      </c>
      <c r="CT14" s="87">
        <v>194.73</v>
      </c>
      <c r="CU14" s="87">
        <v>193.59800000000001</v>
      </c>
      <c r="CV14" s="87">
        <v>193.63499999999999</v>
      </c>
      <c r="CW14" s="87">
        <v>191.91499999999999</v>
      </c>
      <c r="CX14" s="87">
        <v>191.55600000000001</v>
      </c>
      <c r="CY14" s="87">
        <v>189.87700000000001</v>
      </c>
      <c r="CZ14" s="87">
        <v>187.791</v>
      </c>
      <c r="DA14" s="87">
        <v>188.422</v>
      </c>
      <c r="DB14" s="87">
        <v>187.86699999999999</v>
      </c>
      <c r="DC14" s="87">
        <v>185.77699999999999</v>
      </c>
      <c r="DD14" s="87">
        <v>183.66399999999999</v>
      </c>
      <c r="DE14" s="87">
        <v>184.46600000000001</v>
      </c>
      <c r="DF14" s="87">
        <v>195.01599999999999</v>
      </c>
      <c r="DG14" s="87">
        <v>194.62799999999999</v>
      </c>
      <c r="DH14" s="87">
        <v>193.374</v>
      </c>
      <c r="DI14" s="87">
        <v>192.84700000000001</v>
      </c>
      <c r="DJ14" s="87">
        <v>193.87899999999999</v>
      </c>
      <c r="DK14" s="87">
        <v>193.607</v>
      </c>
      <c r="DL14" s="87">
        <v>190.798</v>
      </c>
      <c r="DM14" s="87">
        <v>189.928</v>
      </c>
      <c r="DN14" s="87">
        <v>189.333</v>
      </c>
      <c r="DO14" s="82">
        <v>190.4</v>
      </c>
      <c r="DP14" s="82">
        <v>191.661</v>
      </c>
      <c r="DQ14" s="82">
        <v>201.267</v>
      </c>
      <c r="DR14" s="82">
        <v>202.023</v>
      </c>
      <c r="DS14" s="82">
        <v>203.7</v>
      </c>
      <c r="DT14" s="82">
        <v>202.113</v>
      </c>
      <c r="DU14" s="82">
        <v>201.70400000000001</v>
      </c>
      <c r="DV14" s="82">
        <v>201.749</v>
      </c>
      <c r="DW14" s="82">
        <v>200.56899999999999</v>
      </c>
      <c r="DX14" s="82">
        <v>200.751</v>
      </c>
      <c r="DY14" s="82">
        <v>200.64099999999999</v>
      </c>
      <c r="DZ14" s="82">
        <v>200.35300000000001</v>
      </c>
      <c r="EA14" s="144">
        <v>200.81800000000001</v>
      </c>
    </row>
    <row r="15" spans="1:131" s="8" customFormat="1" ht="16" customHeight="1" x14ac:dyDescent="0.25">
      <c r="A15" s="51" t="s">
        <v>9</v>
      </c>
      <c r="B15" s="88">
        <v>94.182169999999999</v>
      </c>
      <c r="C15" s="88">
        <v>93.684920000000005</v>
      </c>
      <c r="D15" s="88">
        <v>93.01082000000001</v>
      </c>
      <c r="E15" s="88">
        <v>93.554280000000006</v>
      </c>
      <c r="F15" s="88">
        <v>94.262960000000007</v>
      </c>
      <c r="G15" s="88">
        <v>92.951599999999999</v>
      </c>
      <c r="H15" s="88">
        <v>92.921999999999997</v>
      </c>
      <c r="I15" s="88">
        <v>92.355000000000004</v>
      </c>
      <c r="J15" s="88">
        <v>92.677000000000007</v>
      </c>
      <c r="K15" s="88">
        <v>91.734999999999999</v>
      </c>
      <c r="L15" s="88">
        <v>92.067999999999998</v>
      </c>
      <c r="M15" s="88">
        <v>91.671999999999997</v>
      </c>
      <c r="N15" s="88">
        <v>91.733999999999995</v>
      </c>
      <c r="O15" s="88">
        <v>91.122</v>
      </c>
      <c r="P15" s="88">
        <v>90.91</v>
      </c>
      <c r="Q15" s="88">
        <v>90.561999999999998</v>
      </c>
      <c r="R15" s="88">
        <v>90.385999999999996</v>
      </c>
      <c r="S15" s="88">
        <v>90.117000000000004</v>
      </c>
      <c r="T15" s="88">
        <v>89.466999999999999</v>
      </c>
      <c r="U15" s="88">
        <v>89.337000000000003</v>
      </c>
      <c r="V15" s="88">
        <v>89.501000000000005</v>
      </c>
      <c r="W15" s="88">
        <v>88.977999999999994</v>
      </c>
      <c r="X15" s="88">
        <v>88.986999999999995</v>
      </c>
      <c r="Y15" s="88">
        <v>88.373999999999995</v>
      </c>
      <c r="Z15" s="88">
        <v>86.521000000000001</v>
      </c>
      <c r="AA15" s="88">
        <v>86.957999999999998</v>
      </c>
      <c r="AB15" s="88">
        <v>86.1</v>
      </c>
      <c r="AC15" s="88">
        <v>85.683000000000007</v>
      </c>
      <c r="AD15" s="88">
        <v>86.686000000000007</v>
      </c>
      <c r="AE15" s="88">
        <v>86.010999999999996</v>
      </c>
      <c r="AF15" s="88">
        <v>85.680999999999997</v>
      </c>
      <c r="AG15" s="88">
        <v>84.43</v>
      </c>
      <c r="AH15" s="88">
        <v>84.403000000000006</v>
      </c>
      <c r="AI15" s="88">
        <v>83.665999999999997</v>
      </c>
      <c r="AJ15" s="88">
        <v>84.072999999999993</v>
      </c>
      <c r="AK15" s="88">
        <v>84.447000000000003</v>
      </c>
      <c r="AL15" s="88">
        <v>83.903999999999996</v>
      </c>
      <c r="AM15" s="88">
        <v>83.201999999999998</v>
      </c>
      <c r="AN15" s="88">
        <v>82.12</v>
      </c>
      <c r="AO15" s="88">
        <v>82.323999999999998</v>
      </c>
      <c r="AP15" s="88">
        <v>82.509</v>
      </c>
      <c r="AQ15" s="88">
        <v>82.34</v>
      </c>
      <c r="AR15" s="89">
        <v>81.915999999999997</v>
      </c>
      <c r="AS15" s="89">
        <v>81.674999999999997</v>
      </c>
      <c r="AT15" s="89">
        <v>80.572999999999993</v>
      </c>
      <c r="AU15" s="88">
        <v>80.099000000000004</v>
      </c>
      <c r="AV15" s="88">
        <v>80.337999999999994</v>
      </c>
      <c r="AW15" s="88">
        <v>81.09</v>
      </c>
      <c r="AX15" s="90">
        <v>86.603999999999999</v>
      </c>
      <c r="AY15" s="90">
        <v>86.84</v>
      </c>
      <c r="AZ15" s="90">
        <v>85.078000000000003</v>
      </c>
      <c r="BA15" s="91">
        <v>85.138999999999996</v>
      </c>
      <c r="BB15" s="91">
        <v>85.042000000000002</v>
      </c>
      <c r="BC15" s="91">
        <v>84.525000000000006</v>
      </c>
      <c r="BD15" s="90">
        <v>85.561999999999998</v>
      </c>
      <c r="BE15" s="90">
        <v>85.058999999999997</v>
      </c>
      <c r="BF15" s="90">
        <v>84.013000000000005</v>
      </c>
      <c r="BG15" s="90">
        <v>83.334000000000003</v>
      </c>
      <c r="BH15" s="90">
        <v>82.802999999999997</v>
      </c>
      <c r="BI15" s="90">
        <v>83.18</v>
      </c>
      <c r="BJ15" s="89">
        <v>85.641000000000005</v>
      </c>
      <c r="BK15" s="89">
        <v>86.004999999999995</v>
      </c>
      <c r="BL15" s="89">
        <v>85.021000000000001</v>
      </c>
      <c r="BM15" s="90">
        <v>84.284999999999997</v>
      </c>
      <c r="BN15" s="90">
        <v>83.581000000000003</v>
      </c>
      <c r="BO15" s="90">
        <v>83.596999999999994</v>
      </c>
      <c r="BP15" s="90">
        <v>82.680999999999997</v>
      </c>
      <c r="BQ15" s="90">
        <v>82.665000000000006</v>
      </c>
      <c r="BR15" s="90">
        <v>85.691999999999993</v>
      </c>
      <c r="BS15" s="92">
        <f>85792/1000</f>
        <v>85.792000000000002</v>
      </c>
      <c r="BT15" s="89">
        <v>86.936000000000007</v>
      </c>
      <c r="BU15" s="93">
        <v>87.090999999999994</v>
      </c>
      <c r="BV15" s="93">
        <v>90.76</v>
      </c>
      <c r="BW15" s="93">
        <v>89.962999999999994</v>
      </c>
      <c r="BX15" s="93">
        <v>90.290999999999997</v>
      </c>
      <c r="BY15" s="93">
        <v>90.075999999999993</v>
      </c>
      <c r="BZ15" s="93">
        <v>89.683000000000007</v>
      </c>
      <c r="CA15" s="93">
        <v>89.57</v>
      </c>
      <c r="CB15" s="93">
        <v>88.671999999999997</v>
      </c>
      <c r="CC15" s="93">
        <v>88.457999999999998</v>
      </c>
      <c r="CD15" s="93">
        <v>88.13</v>
      </c>
      <c r="CE15" s="93">
        <v>87.983000000000004</v>
      </c>
      <c r="CF15" s="93">
        <v>87.778000000000006</v>
      </c>
      <c r="CG15" s="93">
        <v>89.712999999999994</v>
      </c>
      <c r="CH15" s="93">
        <v>103.71</v>
      </c>
      <c r="CI15" s="93">
        <v>102.675</v>
      </c>
      <c r="CJ15" s="93">
        <v>101.727</v>
      </c>
      <c r="CK15" s="93">
        <v>102.855</v>
      </c>
      <c r="CL15" s="93">
        <v>103.465</v>
      </c>
      <c r="CM15" s="93">
        <v>100.92400000000001</v>
      </c>
      <c r="CN15" s="93">
        <v>100.556</v>
      </c>
      <c r="CO15" s="93">
        <v>99.921000000000006</v>
      </c>
      <c r="CP15" s="93">
        <v>99.828999999999994</v>
      </c>
      <c r="CQ15" s="93">
        <v>99.507999999999996</v>
      </c>
      <c r="CR15" s="93">
        <v>99.436999999999998</v>
      </c>
      <c r="CS15" s="93">
        <v>99.41</v>
      </c>
      <c r="CT15" s="93">
        <v>99.087000000000003</v>
      </c>
      <c r="CU15" s="93">
        <v>98.037999999999997</v>
      </c>
      <c r="CV15" s="93">
        <v>97.805999999999997</v>
      </c>
      <c r="CW15" s="93">
        <v>96.266000000000005</v>
      </c>
      <c r="CX15" s="93">
        <v>96.382999999999996</v>
      </c>
      <c r="CY15" s="93">
        <v>95.266999999999996</v>
      </c>
      <c r="CZ15" s="93">
        <v>95.025000000000006</v>
      </c>
      <c r="DA15" s="93">
        <v>95.186000000000007</v>
      </c>
      <c r="DB15" s="93">
        <v>94.55</v>
      </c>
      <c r="DC15" s="93">
        <v>93.284999999999997</v>
      </c>
      <c r="DD15" s="93">
        <v>92.799000000000007</v>
      </c>
      <c r="DE15" s="93">
        <v>93.644000000000005</v>
      </c>
      <c r="DF15" s="93">
        <v>99.906000000000006</v>
      </c>
      <c r="DG15" s="93">
        <v>100.379</v>
      </c>
      <c r="DH15" s="93">
        <v>100.91800000000001</v>
      </c>
      <c r="DI15" s="93">
        <v>100.878</v>
      </c>
      <c r="DJ15" s="93">
        <v>101.997</v>
      </c>
      <c r="DK15" s="93">
        <v>100.815</v>
      </c>
      <c r="DL15" s="93">
        <v>99.168999999999997</v>
      </c>
      <c r="DM15" s="93">
        <v>97.599000000000004</v>
      </c>
      <c r="DN15" s="93">
        <v>97.504999999999995</v>
      </c>
      <c r="DO15" s="88">
        <v>97.102999999999994</v>
      </c>
      <c r="DP15" s="88">
        <v>97.653999999999996</v>
      </c>
      <c r="DQ15" s="88">
        <v>104.562</v>
      </c>
      <c r="DR15" s="88">
        <v>103.206</v>
      </c>
      <c r="DS15" s="88">
        <v>104.27</v>
      </c>
      <c r="DT15" s="88">
        <v>103.55200000000001</v>
      </c>
      <c r="DU15" s="135">
        <v>103.977</v>
      </c>
      <c r="DV15" s="135">
        <v>103.164</v>
      </c>
      <c r="DW15" s="135">
        <v>102.63500000000001</v>
      </c>
      <c r="DX15" s="135">
        <v>104.304</v>
      </c>
      <c r="DY15" s="135">
        <v>102.992</v>
      </c>
      <c r="DZ15" s="135">
        <v>102.807</v>
      </c>
      <c r="EA15" s="145">
        <v>102.251</v>
      </c>
    </row>
    <row r="16" spans="1:131" s="8" customFormat="1" ht="16" customHeight="1" x14ac:dyDescent="0.25">
      <c r="A16" s="66" t="s">
        <v>10</v>
      </c>
      <c r="B16" s="82">
        <v>106.51934999999999</v>
      </c>
      <c r="C16" s="82">
        <v>107.40864000000001</v>
      </c>
      <c r="D16" s="82">
        <v>107.55472</v>
      </c>
      <c r="E16" s="82">
        <v>107.04908999999999</v>
      </c>
      <c r="F16" s="82">
        <v>107.35551999999998</v>
      </c>
      <c r="G16" s="82">
        <v>106.85087999999999</v>
      </c>
      <c r="H16" s="82">
        <v>107.404</v>
      </c>
      <c r="I16" s="82">
        <v>107.318</v>
      </c>
      <c r="J16" s="82">
        <v>107.54</v>
      </c>
      <c r="K16" s="82">
        <v>107.75</v>
      </c>
      <c r="L16" s="82">
        <v>107.295</v>
      </c>
      <c r="M16" s="82">
        <v>106.88200000000001</v>
      </c>
      <c r="N16" s="82">
        <v>106.568</v>
      </c>
      <c r="O16" s="82">
        <v>106.49</v>
      </c>
      <c r="P16" s="82">
        <v>105.964</v>
      </c>
      <c r="Q16" s="82">
        <v>105.858</v>
      </c>
      <c r="R16" s="82">
        <v>105.31399999999999</v>
      </c>
      <c r="S16" s="82">
        <v>105.23</v>
      </c>
      <c r="T16" s="82">
        <v>105.23399999999999</v>
      </c>
      <c r="U16" s="82">
        <v>104.706</v>
      </c>
      <c r="V16" s="82">
        <v>104.806</v>
      </c>
      <c r="W16" s="82">
        <v>103.81</v>
      </c>
      <c r="X16" s="82">
        <v>103.818</v>
      </c>
      <c r="Y16" s="82">
        <v>103.376</v>
      </c>
      <c r="Z16" s="82">
        <v>101.73099999999999</v>
      </c>
      <c r="AA16" s="82">
        <v>101.13200000000001</v>
      </c>
      <c r="AB16" s="82">
        <v>100.297</v>
      </c>
      <c r="AC16" s="82">
        <v>100.749</v>
      </c>
      <c r="AD16" s="82">
        <v>100.608</v>
      </c>
      <c r="AE16" s="82">
        <v>99.77</v>
      </c>
      <c r="AF16" s="82">
        <v>99.585999999999999</v>
      </c>
      <c r="AG16" s="82">
        <v>99.159000000000006</v>
      </c>
      <c r="AH16" s="82">
        <v>99.08</v>
      </c>
      <c r="AI16" s="82">
        <v>98.488</v>
      </c>
      <c r="AJ16" s="82">
        <v>98.296999999999997</v>
      </c>
      <c r="AK16" s="82">
        <v>98.397999999999996</v>
      </c>
      <c r="AL16" s="82">
        <v>97.313000000000002</v>
      </c>
      <c r="AM16" s="82">
        <v>96.37</v>
      </c>
      <c r="AN16" s="82">
        <v>94.447000000000003</v>
      </c>
      <c r="AO16" s="82">
        <v>93.852999999999994</v>
      </c>
      <c r="AP16" s="82">
        <v>93.724000000000004</v>
      </c>
      <c r="AQ16" s="82">
        <v>92.143000000000001</v>
      </c>
      <c r="AR16" s="83">
        <v>91.74</v>
      </c>
      <c r="AS16" s="83">
        <v>91.908000000000001</v>
      </c>
      <c r="AT16" s="83">
        <v>91.917000000000002</v>
      </c>
      <c r="AU16" s="82">
        <v>91.7</v>
      </c>
      <c r="AV16" s="82">
        <v>91.162000000000006</v>
      </c>
      <c r="AW16" s="82">
        <v>91.247</v>
      </c>
      <c r="AX16" s="84">
        <v>96.926000000000002</v>
      </c>
      <c r="AY16" s="84">
        <v>97.635000000000005</v>
      </c>
      <c r="AZ16" s="84">
        <v>97.308999999999997</v>
      </c>
      <c r="BA16" s="85">
        <v>96.966999999999999</v>
      </c>
      <c r="BB16" s="85">
        <v>97.096999999999994</v>
      </c>
      <c r="BC16" s="85">
        <v>96.001000000000005</v>
      </c>
      <c r="BD16" s="84">
        <v>95.278999999999996</v>
      </c>
      <c r="BE16" s="84">
        <v>95.15</v>
      </c>
      <c r="BF16" s="84">
        <v>94.867999999999995</v>
      </c>
      <c r="BG16" s="84">
        <v>94.328999999999994</v>
      </c>
      <c r="BH16" s="84">
        <v>94.328000000000003</v>
      </c>
      <c r="BI16" s="84">
        <v>94.183999999999997</v>
      </c>
      <c r="BJ16" s="83">
        <v>96.364999999999995</v>
      </c>
      <c r="BK16" s="83">
        <v>99.3</v>
      </c>
      <c r="BL16" s="83">
        <v>96.557000000000002</v>
      </c>
      <c r="BM16" s="84">
        <v>96.409000000000006</v>
      </c>
      <c r="BN16" s="84">
        <v>96.545000000000002</v>
      </c>
      <c r="BO16" s="84">
        <v>96.167000000000002</v>
      </c>
      <c r="BP16" s="84">
        <v>94.736000000000004</v>
      </c>
      <c r="BQ16" s="84">
        <v>95.334000000000003</v>
      </c>
      <c r="BR16" s="84">
        <v>95.45</v>
      </c>
      <c r="BS16" s="86">
        <f>95607/1000</f>
        <v>95.606999999999999</v>
      </c>
      <c r="BT16" s="83">
        <v>95.388999999999996</v>
      </c>
      <c r="BU16" s="87">
        <v>95.519000000000005</v>
      </c>
      <c r="BV16" s="87">
        <v>100.062</v>
      </c>
      <c r="BW16" s="87">
        <v>99.191999999999993</v>
      </c>
      <c r="BX16" s="87">
        <v>98.799000000000007</v>
      </c>
      <c r="BY16" s="87">
        <v>98.620999999999995</v>
      </c>
      <c r="BZ16" s="87">
        <v>98.950999999999993</v>
      </c>
      <c r="CA16" s="87">
        <v>99.097999999999999</v>
      </c>
      <c r="CB16" s="87">
        <v>99.105000000000004</v>
      </c>
      <c r="CC16" s="87">
        <v>98.058000000000007</v>
      </c>
      <c r="CD16" s="87">
        <v>98.275999999999996</v>
      </c>
      <c r="CE16" s="87">
        <v>97.373999999999995</v>
      </c>
      <c r="CF16" s="87">
        <v>97.634</v>
      </c>
      <c r="CG16" s="87">
        <v>97.619</v>
      </c>
      <c r="CH16" s="87">
        <v>107.425</v>
      </c>
      <c r="CI16" s="87">
        <v>109.756</v>
      </c>
      <c r="CJ16" s="87">
        <v>109.797</v>
      </c>
      <c r="CK16" s="87">
        <v>110.35299999999999</v>
      </c>
      <c r="CL16" s="87">
        <v>110.45699999999999</v>
      </c>
      <c r="CM16" s="87">
        <v>109.13</v>
      </c>
      <c r="CN16" s="87">
        <v>109.446</v>
      </c>
      <c r="CO16" s="87">
        <v>110.27800000000001</v>
      </c>
      <c r="CP16" s="87">
        <v>109.831</v>
      </c>
      <c r="CQ16" s="87">
        <v>109.48</v>
      </c>
      <c r="CR16" s="87">
        <v>110.509</v>
      </c>
      <c r="CS16" s="87">
        <v>109.825</v>
      </c>
      <c r="CT16" s="87">
        <v>109.563</v>
      </c>
      <c r="CU16" s="87">
        <v>109.831</v>
      </c>
      <c r="CV16" s="87">
        <v>108.886</v>
      </c>
      <c r="CW16" s="87">
        <v>108.804</v>
      </c>
      <c r="CX16" s="87">
        <v>108.95</v>
      </c>
      <c r="CY16" s="87">
        <v>108.33499999999999</v>
      </c>
      <c r="CZ16" s="87">
        <v>108.041</v>
      </c>
      <c r="DA16" s="87">
        <v>107.517</v>
      </c>
      <c r="DB16" s="87">
        <v>106.676</v>
      </c>
      <c r="DC16" s="87">
        <v>106.024</v>
      </c>
      <c r="DD16" s="87">
        <v>105.199</v>
      </c>
      <c r="DE16" s="87">
        <v>103.595</v>
      </c>
      <c r="DF16" s="87">
        <v>110.761</v>
      </c>
      <c r="DG16" s="87">
        <v>112.276</v>
      </c>
      <c r="DH16" s="87">
        <v>111.208</v>
      </c>
      <c r="DI16" s="87">
        <v>110.72499999999999</v>
      </c>
      <c r="DJ16" s="87">
        <v>110.654</v>
      </c>
      <c r="DK16" s="87">
        <v>110.55500000000001</v>
      </c>
      <c r="DL16" s="87">
        <v>109.989</v>
      </c>
      <c r="DM16" s="87">
        <v>110.22499999999999</v>
      </c>
      <c r="DN16" s="87">
        <v>110.108</v>
      </c>
      <c r="DO16" s="82">
        <v>109.95</v>
      </c>
      <c r="DP16" s="82">
        <v>108.46</v>
      </c>
      <c r="DQ16" s="82">
        <v>108.73099999999999</v>
      </c>
      <c r="DR16" s="82">
        <v>118.544</v>
      </c>
      <c r="DS16" s="82">
        <v>119.315</v>
      </c>
      <c r="DT16" s="82">
        <v>118.905</v>
      </c>
      <c r="DU16" s="82">
        <v>118.845</v>
      </c>
      <c r="DV16" s="82">
        <v>118.937</v>
      </c>
      <c r="DW16" s="82">
        <v>118.02800000000001</v>
      </c>
      <c r="DX16" s="82">
        <v>117.18</v>
      </c>
      <c r="DY16" s="82">
        <v>117.164</v>
      </c>
      <c r="DZ16" s="82">
        <v>117.90300000000001</v>
      </c>
      <c r="EA16" s="144">
        <v>117.41500000000001</v>
      </c>
    </row>
    <row r="17" spans="1:131" s="8" customFormat="1" ht="16" customHeight="1" x14ac:dyDescent="0.25">
      <c r="A17" s="51" t="s">
        <v>11</v>
      </c>
      <c r="B17" s="88">
        <v>75.38288</v>
      </c>
      <c r="C17" s="88">
        <v>75.342300000000009</v>
      </c>
      <c r="D17" s="88">
        <v>75.782699999999991</v>
      </c>
      <c r="E17" s="88">
        <v>75.666780000000003</v>
      </c>
      <c r="F17" s="88">
        <v>76.052499999999995</v>
      </c>
      <c r="G17" s="88">
        <v>75.657709999999994</v>
      </c>
      <c r="H17" s="88">
        <v>76.091999999999999</v>
      </c>
      <c r="I17" s="88">
        <v>76.766999999999996</v>
      </c>
      <c r="J17" s="88">
        <v>76.599999999999994</v>
      </c>
      <c r="K17" s="88">
        <v>76.37</v>
      </c>
      <c r="L17" s="88">
        <v>76.492000000000004</v>
      </c>
      <c r="M17" s="88">
        <v>76.156999999999996</v>
      </c>
      <c r="N17" s="88">
        <v>75.662999999999997</v>
      </c>
      <c r="O17" s="88">
        <v>74.938000000000002</v>
      </c>
      <c r="P17" s="88">
        <v>74.602999999999994</v>
      </c>
      <c r="Q17" s="88">
        <v>74.957999999999998</v>
      </c>
      <c r="R17" s="88">
        <v>75.111999999999995</v>
      </c>
      <c r="S17" s="88">
        <v>74.366</v>
      </c>
      <c r="T17" s="88">
        <v>73.843999999999994</v>
      </c>
      <c r="U17" s="88">
        <v>73.399000000000001</v>
      </c>
      <c r="V17" s="88">
        <v>73.668000000000006</v>
      </c>
      <c r="W17" s="88">
        <v>72.852999999999994</v>
      </c>
      <c r="X17" s="88">
        <v>72.456999999999994</v>
      </c>
      <c r="Y17" s="88">
        <v>72.41</v>
      </c>
      <c r="Z17" s="88">
        <v>71.495000000000005</v>
      </c>
      <c r="AA17" s="88">
        <v>71.405000000000001</v>
      </c>
      <c r="AB17" s="88">
        <v>71.203999999999994</v>
      </c>
      <c r="AC17" s="88">
        <v>71.406999999999996</v>
      </c>
      <c r="AD17" s="88">
        <v>70.959000000000003</v>
      </c>
      <c r="AE17" s="88">
        <v>70.278000000000006</v>
      </c>
      <c r="AF17" s="88">
        <v>69.899000000000001</v>
      </c>
      <c r="AG17" s="88">
        <v>69.391000000000005</v>
      </c>
      <c r="AH17" s="88">
        <v>69.09</v>
      </c>
      <c r="AI17" s="88">
        <v>68.424999999999997</v>
      </c>
      <c r="AJ17" s="88">
        <v>68.704999999999998</v>
      </c>
      <c r="AK17" s="88">
        <v>68.846999999999994</v>
      </c>
      <c r="AL17" s="88">
        <v>68.275000000000006</v>
      </c>
      <c r="AM17" s="88">
        <v>68.063000000000002</v>
      </c>
      <c r="AN17" s="88">
        <v>68.308999999999997</v>
      </c>
      <c r="AO17" s="88">
        <v>68.192999999999998</v>
      </c>
      <c r="AP17" s="88">
        <v>67.903999999999996</v>
      </c>
      <c r="AQ17" s="88">
        <v>67.650999999999996</v>
      </c>
      <c r="AR17" s="89">
        <v>67.400999999999996</v>
      </c>
      <c r="AS17" s="89">
        <v>66.887</v>
      </c>
      <c r="AT17" s="89">
        <v>66.873999999999995</v>
      </c>
      <c r="AU17" s="88">
        <v>66.325000000000003</v>
      </c>
      <c r="AV17" s="88">
        <v>66.626999999999995</v>
      </c>
      <c r="AW17" s="88">
        <v>67.093999999999994</v>
      </c>
      <c r="AX17" s="90">
        <v>72.290000000000006</v>
      </c>
      <c r="AY17" s="90">
        <v>72.718999999999994</v>
      </c>
      <c r="AZ17" s="90">
        <v>72.414000000000001</v>
      </c>
      <c r="BA17" s="91">
        <v>72.182000000000002</v>
      </c>
      <c r="BB17" s="91">
        <v>72.203999999999994</v>
      </c>
      <c r="BC17" s="91">
        <v>71.688999999999993</v>
      </c>
      <c r="BD17" s="90">
        <v>71.356999999999999</v>
      </c>
      <c r="BE17" s="90">
        <v>71.572000000000003</v>
      </c>
      <c r="BF17" s="90">
        <v>71.248999999999995</v>
      </c>
      <c r="BG17" s="90">
        <v>70.117999999999995</v>
      </c>
      <c r="BH17" s="90">
        <v>69.900000000000006</v>
      </c>
      <c r="BI17" s="90">
        <v>69.876000000000005</v>
      </c>
      <c r="BJ17" s="89">
        <v>71.287999999999997</v>
      </c>
      <c r="BK17" s="89">
        <v>71.134</v>
      </c>
      <c r="BL17" s="89">
        <v>71.53</v>
      </c>
      <c r="BM17" s="90">
        <v>71.382000000000005</v>
      </c>
      <c r="BN17" s="90">
        <v>71.447000000000003</v>
      </c>
      <c r="BO17" s="90">
        <v>70.328000000000003</v>
      </c>
      <c r="BP17" s="90">
        <v>69.248999999999995</v>
      </c>
      <c r="BQ17" s="90">
        <v>70.066999999999993</v>
      </c>
      <c r="BR17" s="90">
        <v>68.655000000000001</v>
      </c>
      <c r="BS17" s="92">
        <f>68948/1000</f>
        <v>68.947999999999993</v>
      </c>
      <c r="BT17" s="89">
        <v>68.977999999999994</v>
      </c>
      <c r="BU17" s="93">
        <v>69.084000000000003</v>
      </c>
      <c r="BV17" s="93">
        <v>70.066999999999993</v>
      </c>
      <c r="BW17" s="93">
        <v>70.012</v>
      </c>
      <c r="BX17" s="93">
        <v>69.611000000000004</v>
      </c>
      <c r="BY17" s="93">
        <v>69.856999999999999</v>
      </c>
      <c r="BZ17" s="93">
        <v>69.667000000000002</v>
      </c>
      <c r="CA17" s="93">
        <v>69.632999999999996</v>
      </c>
      <c r="CB17" s="93">
        <v>69.805000000000007</v>
      </c>
      <c r="CC17" s="93">
        <v>69.05</v>
      </c>
      <c r="CD17" s="93">
        <v>69.222999999999999</v>
      </c>
      <c r="CE17" s="93">
        <v>68.712000000000003</v>
      </c>
      <c r="CF17" s="93">
        <v>68.662999999999997</v>
      </c>
      <c r="CG17" s="93">
        <v>69.314999999999998</v>
      </c>
      <c r="CH17" s="93">
        <v>78.021000000000001</v>
      </c>
      <c r="CI17" s="93">
        <v>79.503</v>
      </c>
      <c r="CJ17" s="93">
        <v>79.731999999999999</v>
      </c>
      <c r="CK17" s="93">
        <v>80.447000000000003</v>
      </c>
      <c r="CL17" s="93">
        <v>81.153000000000006</v>
      </c>
      <c r="CM17" s="93">
        <v>80.132000000000005</v>
      </c>
      <c r="CN17" s="93">
        <v>79.893000000000001</v>
      </c>
      <c r="CO17" s="93">
        <v>78.677000000000007</v>
      </c>
      <c r="CP17" s="93">
        <v>80.296999999999997</v>
      </c>
      <c r="CQ17" s="93">
        <v>79.391000000000005</v>
      </c>
      <c r="CR17" s="93">
        <v>79.644000000000005</v>
      </c>
      <c r="CS17" s="93">
        <v>80.97</v>
      </c>
      <c r="CT17" s="93">
        <v>81.599000000000004</v>
      </c>
      <c r="CU17" s="93">
        <v>80.983999999999995</v>
      </c>
      <c r="CV17" s="93">
        <v>84.355000000000004</v>
      </c>
      <c r="CW17" s="93">
        <v>82.8</v>
      </c>
      <c r="CX17" s="93">
        <v>83.222999999999999</v>
      </c>
      <c r="CY17" s="93">
        <v>86.108000000000004</v>
      </c>
      <c r="CZ17" s="93">
        <v>83.644000000000005</v>
      </c>
      <c r="DA17" s="93">
        <v>84.527000000000001</v>
      </c>
      <c r="DB17" s="93">
        <v>83.406000000000006</v>
      </c>
      <c r="DC17" s="93">
        <v>80.906999999999996</v>
      </c>
      <c r="DD17" s="93">
        <v>79.445999999999998</v>
      </c>
      <c r="DE17" s="93">
        <v>79.747</v>
      </c>
      <c r="DF17" s="93">
        <v>84.147000000000006</v>
      </c>
      <c r="DG17" s="93">
        <v>83.293000000000006</v>
      </c>
      <c r="DH17" s="93">
        <v>82.98</v>
      </c>
      <c r="DI17" s="93">
        <v>83.016000000000005</v>
      </c>
      <c r="DJ17" s="93">
        <v>82.596000000000004</v>
      </c>
      <c r="DK17" s="93">
        <v>82.120999999999995</v>
      </c>
      <c r="DL17" s="93">
        <v>81.783000000000001</v>
      </c>
      <c r="DM17" s="93">
        <v>80.863</v>
      </c>
      <c r="DN17" s="93">
        <v>81.075999999999993</v>
      </c>
      <c r="DO17" s="88">
        <v>81.465999999999994</v>
      </c>
      <c r="DP17" s="88">
        <v>81.962000000000003</v>
      </c>
      <c r="DQ17" s="88">
        <v>85.43</v>
      </c>
      <c r="DR17" s="88">
        <v>85.156000000000006</v>
      </c>
      <c r="DS17" s="88">
        <v>87.5</v>
      </c>
      <c r="DT17" s="88">
        <v>86.647999999999996</v>
      </c>
      <c r="DU17" s="135">
        <v>87.165999999999997</v>
      </c>
      <c r="DV17" s="135">
        <v>86.644999999999996</v>
      </c>
      <c r="DW17" s="135">
        <v>86.393000000000001</v>
      </c>
      <c r="DX17" s="135">
        <v>86.215999999999994</v>
      </c>
      <c r="DY17" s="135">
        <v>86.619</v>
      </c>
      <c r="DZ17" s="135">
        <v>86.337000000000003</v>
      </c>
      <c r="EA17" s="145">
        <v>85.194000000000003</v>
      </c>
    </row>
    <row r="18" spans="1:131" s="8" customFormat="1" ht="16" customHeight="1" x14ac:dyDescent="0.25">
      <c r="A18" s="66" t="s">
        <v>12</v>
      </c>
      <c r="B18" s="82">
        <v>173.76051999999999</v>
      </c>
      <c r="C18" s="82">
        <v>173.15855999999999</v>
      </c>
      <c r="D18" s="82">
        <v>174.28565</v>
      </c>
      <c r="E18" s="82">
        <v>170.23820000000001</v>
      </c>
      <c r="F18" s="82">
        <v>170.53925000000001</v>
      </c>
      <c r="G18" s="82">
        <v>170.09325000000001</v>
      </c>
      <c r="H18" s="82">
        <v>170.589</v>
      </c>
      <c r="I18" s="82">
        <v>168.57900000000001</v>
      </c>
      <c r="J18" s="82">
        <v>168.01400000000001</v>
      </c>
      <c r="K18" s="82">
        <v>168.755</v>
      </c>
      <c r="L18" s="82">
        <v>167.96600000000001</v>
      </c>
      <c r="M18" s="82">
        <v>167.44399999999999</v>
      </c>
      <c r="N18" s="82">
        <v>166.62100000000001</v>
      </c>
      <c r="O18" s="82">
        <v>166.464</v>
      </c>
      <c r="P18" s="82">
        <v>165.76300000000001</v>
      </c>
      <c r="Q18" s="82">
        <v>164.50399999999999</v>
      </c>
      <c r="R18" s="82">
        <v>164.345</v>
      </c>
      <c r="S18" s="82">
        <v>164.07599999999999</v>
      </c>
      <c r="T18" s="82">
        <v>162.78299999999999</v>
      </c>
      <c r="U18" s="82">
        <v>161.91399999999999</v>
      </c>
      <c r="V18" s="82">
        <v>162.04</v>
      </c>
      <c r="W18" s="82">
        <v>161.697</v>
      </c>
      <c r="X18" s="82">
        <v>161.423</v>
      </c>
      <c r="Y18" s="82">
        <v>161.13399999999999</v>
      </c>
      <c r="Z18" s="82">
        <v>160.203</v>
      </c>
      <c r="AA18" s="82">
        <v>159.834</v>
      </c>
      <c r="AB18" s="82">
        <v>158.61000000000001</v>
      </c>
      <c r="AC18" s="82">
        <v>158.39400000000001</v>
      </c>
      <c r="AD18" s="82">
        <v>159.04599999999999</v>
      </c>
      <c r="AE18" s="82">
        <v>157.86500000000001</v>
      </c>
      <c r="AF18" s="82">
        <v>157.07</v>
      </c>
      <c r="AG18" s="82">
        <v>156.286</v>
      </c>
      <c r="AH18" s="82">
        <v>156.03399999999999</v>
      </c>
      <c r="AI18" s="82">
        <v>156.81100000000001</v>
      </c>
      <c r="AJ18" s="82">
        <v>154.40299999999999</v>
      </c>
      <c r="AK18" s="82">
        <v>154.76599999999999</v>
      </c>
      <c r="AL18" s="82">
        <v>153.89699999999999</v>
      </c>
      <c r="AM18" s="82">
        <v>153.50200000000001</v>
      </c>
      <c r="AN18" s="82">
        <v>152.821</v>
      </c>
      <c r="AO18" s="82">
        <v>152.27099999999999</v>
      </c>
      <c r="AP18" s="82">
        <v>152.48099999999999</v>
      </c>
      <c r="AQ18" s="82">
        <v>152.566</v>
      </c>
      <c r="AR18" s="83">
        <v>152.01900000000001</v>
      </c>
      <c r="AS18" s="83">
        <v>150.50299999999999</v>
      </c>
      <c r="AT18" s="83">
        <v>150.20599999999999</v>
      </c>
      <c r="AU18" s="82">
        <v>149.34100000000001</v>
      </c>
      <c r="AV18" s="82">
        <v>149.352</v>
      </c>
      <c r="AW18" s="82">
        <v>149.74299999999999</v>
      </c>
      <c r="AX18" s="84">
        <v>156.58500000000001</v>
      </c>
      <c r="AY18" s="84">
        <v>157.74700000000001</v>
      </c>
      <c r="AZ18" s="84">
        <v>156.15</v>
      </c>
      <c r="BA18" s="85">
        <v>157.34200000000001</v>
      </c>
      <c r="BB18" s="85">
        <v>157.90700000000001</v>
      </c>
      <c r="BC18" s="85">
        <v>157.56800000000001</v>
      </c>
      <c r="BD18" s="84">
        <v>157.09899999999999</v>
      </c>
      <c r="BE18" s="84">
        <v>156.22900000000001</v>
      </c>
      <c r="BF18" s="84">
        <v>155.22499999999999</v>
      </c>
      <c r="BG18" s="84">
        <v>155.178</v>
      </c>
      <c r="BH18" s="84">
        <v>155.68199999999999</v>
      </c>
      <c r="BI18" s="84">
        <v>156.292</v>
      </c>
      <c r="BJ18" s="83">
        <v>159.166</v>
      </c>
      <c r="BK18" s="83">
        <v>159.18299999999999</v>
      </c>
      <c r="BL18" s="83">
        <v>157.988</v>
      </c>
      <c r="BM18" s="84">
        <v>157.60900000000001</v>
      </c>
      <c r="BN18" s="84">
        <v>158.11199999999999</v>
      </c>
      <c r="BO18" s="84">
        <v>157.75200000000001</v>
      </c>
      <c r="BP18" s="84">
        <v>154.23699999999999</v>
      </c>
      <c r="BQ18" s="84">
        <v>154.63200000000001</v>
      </c>
      <c r="BR18" s="84">
        <v>152.077</v>
      </c>
      <c r="BS18" s="86">
        <f>153079/1000</f>
        <v>153.07900000000001</v>
      </c>
      <c r="BT18" s="83">
        <v>153.43100000000001</v>
      </c>
      <c r="BU18" s="87">
        <v>153.06399999999999</v>
      </c>
      <c r="BV18" s="87">
        <v>156.93299999999999</v>
      </c>
      <c r="BW18" s="87">
        <v>157.102</v>
      </c>
      <c r="BX18" s="87">
        <v>156.874</v>
      </c>
      <c r="BY18" s="87">
        <v>156.31700000000001</v>
      </c>
      <c r="BZ18" s="87">
        <v>156.72</v>
      </c>
      <c r="CA18" s="87">
        <v>156.13200000000001</v>
      </c>
      <c r="CB18" s="87">
        <v>154.38800000000001</v>
      </c>
      <c r="CC18" s="87">
        <v>153.596</v>
      </c>
      <c r="CD18" s="87">
        <v>153.517</v>
      </c>
      <c r="CE18" s="87">
        <v>153.024</v>
      </c>
      <c r="CF18" s="87">
        <v>153.262</v>
      </c>
      <c r="CG18" s="87">
        <v>153.619</v>
      </c>
      <c r="CH18" s="87">
        <v>167.37700000000001</v>
      </c>
      <c r="CI18" s="87">
        <v>169.733</v>
      </c>
      <c r="CJ18" s="87">
        <v>168.72399999999999</v>
      </c>
      <c r="CK18" s="87">
        <v>169.68199999999999</v>
      </c>
      <c r="CL18" s="87">
        <v>169.45599999999999</v>
      </c>
      <c r="CM18" s="87">
        <v>169.30799999999999</v>
      </c>
      <c r="CN18" s="87">
        <v>168.77099999999999</v>
      </c>
      <c r="CO18" s="87">
        <v>169.53800000000001</v>
      </c>
      <c r="CP18" s="87">
        <v>169.435</v>
      </c>
      <c r="CQ18" s="87">
        <v>169.75700000000001</v>
      </c>
      <c r="CR18" s="87">
        <v>171.00800000000001</v>
      </c>
      <c r="CS18" s="87">
        <v>171.84299999999999</v>
      </c>
      <c r="CT18" s="87">
        <v>172.04499999999999</v>
      </c>
      <c r="CU18" s="87">
        <v>171.95</v>
      </c>
      <c r="CV18" s="87">
        <v>169.74</v>
      </c>
      <c r="CW18" s="87">
        <v>168.72200000000001</v>
      </c>
      <c r="CX18" s="87">
        <v>168.79400000000001</v>
      </c>
      <c r="CY18" s="87">
        <v>167.64500000000001</v>
      </c>
      <c r="CZ18" s="87">
        <v>166.81399999999999</v>
      </c>
      <c r="DA18" s="87">
        <v>165.86500000000001</v>
      </c>
      <c r="DB18" s="87">
        <v>164.64099999999999</v>
      </c>
      <c r="DC18" s="87">
        <v>162.40100000000001</v>
      </c>
      <c r="DD18" s="87">
        <v>161.95699999999999</v>
      </c>
      <c r="DE18" s="87">
        <v>162.68</v>
      </c>
      <c r="DF18" s="87">
        <v>172.839</v>
      </c>
      <c r="DG18" s="87">
        <v>173.238</v>
      </c>
      <c r="DH18" s="87">
        <v>173.04499999999999</v>
      </c>
      <c r="DI18" s="87">
        <v>173.017</v>
      </c>
      <c r="DJ18" s="87">
        <v>173.739</v>
      </c>
      <c r="DK18" s="87">
        <v>173.965</v>
      </c>
      <c r="DL18" s="87">
        <v>172.01900000000001</v>
      </c>
      <c r="DM18" s="87">
        <v>171.96199999999999</v>
      </c>
      <c r="DN18" s="87">
        <v>172.39699999999999</v>
      </c>
      <c r="DO18" s="82">
        <v>172.94300000000001</v>
      </c>
      <c r="DP18" s="82">
        <v>176.15899999999999</v>
      </c>
      <c r="DQ18" s="82">
        <v>188.018</v>
      </c>
      <c r="DR18" s="82">
        <v>187.86099999999999</v>
      </c>
      <c r="DS18" s="82">
        <v>191.476</v>
      </c>
      <c r="DT18" s="82">
        <v>190.81700000000001</v>
      </c>
      <c r="DU18" s="82">
        <v>191.62899999999999</v>
      </c>
      <c r="DV18" s="82">
        <v>192.37799999999999</v>
      </c>
      <c r="DW18" s="82">
        <v>192.648</v>
      </c>
      <c r="DX18" s="82">
        <v>193.02199999999999</v>
      </c>
      <c r="DY18" s="82">
        <v>193.34700000000001</v>
      </c>
      <c r="DZ18" s="82">
        <v>193.84700000000001</v>
      </c>
      <c r="EA18" s="144">
        <v>193.45</v>
      </c>
    </row>
    <row r="19" spans="1:131" s="8" customFormat="1" ht="16" customHeight="1" x14ac:dyDescent="0.25">
      <c r="A19" s="51" t="s">
        <v>13</v>
      </c>
      <c r="B19" s="88">
        <v>422.05998999999997</v>
      </c>
      <c r="C19" s="88">
        <v>421.25274000000002</v>
      </c>
      <c r="D19" s="88">
        <v>420.25840000000005</v>
      </c>
      <c r="E19" s="88">
        <v>421.91164000000003</v>
      </c>
      <c r="F19" s="88">
        <v>423.68468000000001</v>
      </c>
      <c r="G19" s="88">
        <v>425.12652000000003</v>
      </c>
      <c r="H19" s="88">
        <v>420.15899999999999</v>
      </c>
      <c r="I19" s="88">
        <v>415.67399999999998</v>
      </c>
      <c r="J19" s="88">
        <v>414.34500000000003</v>
      </c>
      <c r="K19" s="88">
        <v>411.87900000000002</v>
      </c>
      <c r="L19" s="88">
        <v>416.15100000000001</v>
      </c>
      <c r="M19" s="88">
        <v>414.35599999999999</v>
      </c>
      <c r="N19" s="88">
        <v>411.68200000000002</v>
      </c>
      <c r="O19" s="88">
        <v>408.041</v>
      </c>
      <c r="P19" s="88">
        <v>408.93799999999999</v>
      </c>
      <c r="Q19" s="88">
        <v>410.28699999999998</v>
      </c>
      <c r="R19" s="88">
        <v>410.40199999999999</v>
      </c>
      <c r="S19" s="88">
        <v>408.303</v>
      </c>
      <c r="T19" s="88">
        <v>402.91</v>
      </c>
      <c r="U19" s="88">
        <v>400.553</v>
      </c>
      <c r="V19" s="88">
        <v>399.46</v>
      </c>
      <c r="W19" s="88">
        <v>398.76100000000002</v>
      </c>
      <c r="X19" s="88">
        <v>400.62</v>
      </c>
      <c r="Y19" s="88">
        <v>399.71499999999997</v>
      </c>
      <c r="Z19" s="88">
        <v>393.98</v>
      </c>
      <c r="AA19" s="88">
        <v>393.65699999999998</v>
      </c>
      <c r="AB19" s="88">
        <v>391.14699999999999</v>
      </c>
      <c r="AC19" s="88">
        <v>393.13600000000002</v>
      </c>
      <c r="AD19" s="88">
        <v>394.30799999999999</v>
      </c>
      <c r="AE19" s="88">
        <v>392.94600000000003</v>
      </c>
      <c r="AF19" s="88">
        <v>386.31</v>
      </c>
      <c r="AG19" s="88">
        <v>383.55599999999998</v>
      </c>
      <c r="AH19" s="88">
        <v>380.92899999999997</v>
      </c>
      <c r="AI19" s="88">
        <v>380.65899999999999</v>
      </c>
      <c r="AJ19" s="88">
        <v>383.79700000000003</v>
      </c>
      <c r="AK19" s="88">
        <v>385.46100000000001</v>
      </c>
      <c r="AL19" s="88">
        <v>384.596</v>
      </c>
      <c r="AM19" s="88">
        <v>383.31700000000001</v>
      </c>
      <c r="AN19" s="88">
        <v>382.529</v>
      </c>
      <c r="AO19" s="88">
        <v>383.685</v>
      </c>
      <c r="AP19" s="88">
        <v>383.58300000000003</v>
      </c>
      <c r="AQ19" s="88">
        <v>380.12099999999998</v>
      </c>
      <c r="AR19" s="89">
        <v>375.928</v>
      </c>
      <c r="AS19" s="89">
        <v>373.99299999999999</v>
      </c>
      <c r="AT19" s="89">
        <v>373.822</v>
      </c>
      <c r="AU19" s="88">
        <v>372.53199999999998</v>
      </c>
      <c r="AV19" s="88">
        <v>375.26499999999999</v>
      </c>
      <c r="AW19" s="88">
        <v>375.70800000000003</v>
      </c>
      <c r="AX19" s="90">
        <v>396.32900000000001</v>
      </c>
      <c r="AY19" s="90">
        <v>395.39100000000002</v>
      </c>
      <c r="AZ19" s="90">
        <v>393.923</v>
      </c>
      <c r="BA19" s="91">
        <v>396.63799999999998</v>
      </c>
      <c r="BB19" s="91">
        <v>396.85899999999998</v>
      </c>
      <c r="BC19" s="91">
        <v>393.07299999999998</v>
      </c>
      <c r="BD19" s="90">
        <v>390.05200000000002</v>
      </c>
      <c r="BE19" s="90">
        <v>388.512</v>
      </c>
      <c r="BF19" s="90">
        <v>388.63400000000001</v>
      </c>
      <c r="BG19" s="90">
        <v>387.34399999999999</v>
      </c>
      <c r="BH19" s="90">
        <v>390.55500000000001</v>
      </c>
      <c r="BI19" s="90">
        <v>393.89699999999999</v>
      </c>
      <c r="BJ19" s="89">
        <v>404.57400000000001</v>
      </c>
      <c r="BK19" s="89">
        <v>405.70600000000002</v>
      </c>
      <c r="BL19" s="89">
        <v>403.97899999999998</v>
      </c>
      <c r="BM19" s="90">
        <v>408.54500000000002</v>
      </c>
      <c r="BN19" s="90">
        <v>409.28699999999998</v>
      </c>
      <c r="BO19" s="90">
        <v>406.30399999999997</v>
      </c>
      <c r="BP19" s="90">
        <v>395.90699999999998</v>
      </c>
      <c r="BQ19" s="90">
        <v>398.94799999999998</v>
      </c>
      <c r="BR19" s="90">
        <v>391.62400000000002</v>
      </c>
      <c r="BS19" s="92">
        <f>394848/1000</f>
        <v>394.84800000000001</v>
      </c>
      <c r="BT19" s="89">
        <v>395.74599999999998</v>
      </c>
      <c r="BU19" s="93">
        <v>396.483</v>
      </c>
      <c r="BV19" s="93">
        <v>404.79500000000002</v>
      </c>
      <c r="BW19" s="93">
        <v>401.76600000000002</v>
      </c>
      <c r="BX19" s="93">
        <v>399.53800000000001</v>
      </c>
      <c r="BY19" s="93">
        <v>401.45100000000002</v>
      </c>
      <c r="BZ19" s="93">
        <v>401.34300000000002</v>
      </c>
      <c r="CA19" s="93">
        <v>396.923</v>
      </c>
      <c r="CB19" s="93">
        <v>392.64400000000001</v>
      </c>
      <c r="CC19" s="93">
        <v>389.31</v>
      </c>
      <c r="CD19" s="93">
        <v>384.149</v>
      </c>
      <c r="CE19" s="93">
        <v>385.44400000000002</v>
      </c>
      <c r="CF19" s="93">
        <v>385.77499999999998</v>
      </c>
      <c r="CG19" s="93">
        <v>388.07400000000001</v>
      </c>
      <c r="CH19" s="93">
        <v>423.476</v>
      </c>
      <c r="CI19" s="93">
        <v>425.96499999999997</v>
      </c>
      <c r="CJ19" s="93">
        <v>425.04500000000002</v>
      </c>
      <c r="CK19" s="93">
        <v>427.86500000000001</v>
      </c>
      <c r="CL19" s="93">
        <v>430.71300000000002</v>
      </c>
      <c r="CM19" s="93">
        <v>432.56400000000002</v>
      </c>
      <c r="CN19" s="93">
        <v>433.42200000000003</v>
      </c>
      <c r="CO19" s="93">
        <v>435.14800000000002</v>
      </c>
      <c r="CP19" s="93">
        <v>436.71899999999999</v>
      </c>
      <c r="CQ19" s="93">
        <v>436.63499999999999</v>
      </c>
      <c r="CR19" s="93">
        <v>439.35599999999999</v>
      </c>
      <c r="CS19" s="93">
        <v>442.983</v>
      </c>
      <c r="CT19" s="93">
        <v>443.226</v>
      </c>
      <c r="CU19" s="93">
        <v>444.26900000000001</v>
      </c>
      <c r="CV19" s="93">
        <v>441.41199999999998</v>
      </c>
      <c r="CW19" s="93">
        <v>439.79899999999998</v>
      </c>
      <c r="CX19" s="93">
        <v>437.55500000000001</v>
      </c>
      <c r="CY19" s="93">
        <v>433.65300000000002</v>
      </c>
      <c r="CZ19" s="93">
        <v>428.86399999999998</v>
      </c>
      <c r="DA19" s="93">
        <v>425.65199999999999</v>
      </c>
      <c r="DB19" s="93">
        <v>422.61900000000003</v>
      </c>
      <c r="DC19" s="93">
        <v>416.39800000000002</v>
      </c>
      <c r="DD19" s="93">
        <v>415.48899999999998</v>
      </c>
      <c r="DE19" s="93">
        <v>415.16800000000001</v>
      </c>
      <c r="DF19" s="93">
        <v>437.03</v>
      </c>
      <c r="DG19" s="93">
        <v>436.10300000000001</v>
      </c>
      <c r="DH19" s="93">
        <v>433.09699999999998</v>
      </c>
      <c r="DI19" s="93">
        <v>432.887</v>
      </c>
      <c r="DJ19" s="93">
        <v>433.435</v>
      </c>
      <c r="DK19" s="93">
        <v>430.82600000000002</v>
      </c>
      <c r="DL19" s="93">
        <v>424.16699999999997</v>
      </c>
      <c r="DM19" s="93">
        <v>422.983</v>
      </c>
      <c r="DN19" s="93">
        <v>420.34199999999998</v>
      </c>
      <c r="DO19" s="88">
        <v>423.4</v>
      </c>
      <c r="DP19" s="88">
        <v>426.53800000000001</v>
      </c>
      <c r="DQ19" s="88">
        <v>448.47300000000001</v>
      </c>
      <c r="DR19" s="88">
        <v>448.88299999999998</v>
      </c>
      <c r="DS19" s="88">
        <v>453.95</v>
      </c>
      <c r="DT19" s="88">
        <v>451.46</v>
      </c>
      <c r="DU19" s="135">
        <v>453.59300000000002</v>
      </c>
      <c r="DV19" s="135">
        <v>454.41699999999997</v>
      </c>
      <c r="DW19" s="135">
        <v>454.66500000000002</v>
      </c>
      <c r="DX19" s="135">
        <v>453.41</v>
      </c>
      <c r="DY19" s="135">
        <v>453.73200000000003</v>
      </c>
      <c r="DZ19" s="135">
        <v>453.072</v>
      </c>
      <c r="EA19" s="145">
        <v>450.90800000000002</v>
      </c>
    </row>
    <row r="20" spans="1:131" s="8" customFormat="1" ht="16" customHeight="1" x14ac:dyDescent="0.25">
      <c r="A20" s="66" t="s">
        <v>14</v>
      </c>
      <c r="B20" s="82">
        <v>1405.57879</v>
      </c>
      <c r="C20" s="82">
        <v>1405.00128</v>
      </c>
      <c r="D20" s="82">
        <v>1407.6085399999999</v>
      </c>
      <c r="E20" s="82">
        <v>1407.7086000000002</v>
      </c>
      <c r="F20" s="82">
        <v>1400.95929</v>
      </c>
      <c r="G20" s="82">
        <v>1394.3788399999999</v>
      </c>
      <c r="H20" s="82">
        <v>1387.971</v>
      </c>
      <c r="I20" s="82">
        <v>1381.8489999999999</v>
      </c>
      <c r="J20" s="82">
        <v>1379.9190000000001</v>
      </c>
      <c r="K20" s="82">
        <v>1374.9159999999999</v>
      </c>
      <c r="L20" s="82">
        <v>1380.374</v>
      </c>
      <c r="M20" s="82">
        <v>1381.79</v>
      </c>
      <c r="N20" s="82">
        <v>1373.376</v>
      </c>
      <c r="O20" s="82">
        <v>1370.9</v>
      </c>
      <c r="P20" s="82">
        <v>1372.31</v>
      </c>
      <c r="Q20" s="82">
        <v>1376.8340000000001</v>
      </c>
      <c r="R20" s="82">
        <v>1377.12</v>
      </c>
      <c r="S20" s="82">
        <v>1370.8209999999999</v>
      </c>
      <c r="T20" s="82">
        <v>1363.01</v>
      </c>
      <c r="U20" s="82">
        <v>1356.221</v>
      </c>
      <c r="V20" s="82">
        <v>1349.4670000000001</v>
      </c>
      <c r="W20" s="82">
        <v>1338.2070000000001</v>
      </c>
      <c r="X20" s="82">
        <v>1343.18</v>
      </c>
      <c r="Y20" s="82">
        <v>1343.7570000000001</v>
      </c>
      <c r="Z20" s="82">
        <v>1324.087</v>
      </c>
      <c r="AA20" s="82">
        <v>1319.2729999999999</v>
      </c>
      <c r="AB20" s="82">
        <v>1315.114</v>
      </c>
      <c r="AC20" s="82">
        <v>1313.441</v>
      </c>
      <c r="AD20" s="82">
        <v>1317.8630000000001</v>
      </c>
      <c r="AE20" s="82">
        <v>1312.328</v>
      </c>
      <c r="AF20" s="82">
        <v>1304.028</v>
      </c>
      <c r="AG20" s="82">
        <v>1295.873</v>
      </c>
      <c r="AH20" s="82">
        <v>1286.798</v>
      </c>
      <c r="AI20" s="82">
        <v>1282.663</v>
      </c>
      <c r="AJ20" s="82">
        <v>1286.6320000000001</v>
      </c>
      <c r="AK20" s="82">
        <v>1287.7059999999999</v>
      </c>
      <c r="AL20" s="82">
        <v>1274.5719999999999</v>
      </c>
      <c r="AM20" s="82">
        <v>1275.789</v>
      </c>
      <c r="AN20" s="82">
        <v>1274.6320000000001</v>
      </c>
      <c r="AO20" s="82">
        <v>1276.077</v>
      </c>
      <c r="AP20" s="82">
        <v>1277.462</v>
      </c>
      <c r="AQ20" s="82">
        <v>1270.221</v>
      </c>
      <c r="AR20" s="83">
        <v>1266.18</v>
      </c>
      <c r="AS20" s="83">
        <v>1257.3869999999999</v>
      </c>
      <c r="AT20" s="83">
        <v>1252.5540000000001</v>
      </c>
      <c r="AU20" s="82">
        <v>1245.135</v>
      </c>
      <c r="AV20" s="82">
        <v>1247.873</v>
      </c>
      <c r="AW20" s="82">
        <v>1252.4680000000001</v>
      </c>
      <c r="AX20" s="84">
        <v>1307.1600000000001</v>
      </c>
      <c r="AY20" s="84">
        <v>1313.9829999999999</v>
      </c>
      <c r="AZ20" s="84">
        <v>1311.0139999999999</v>
      </c>
      <c r="BA20" s="85">
        <v>1308.769</v>
      </c>
      <c r="BB20" s="85">
        <v>1309.652</v>
      </c>
      <c r="BC20" s="85">
        <v>1303.3969999999999</v>
      </c>
      <c r="BD20" s="84">
        <v>1294.4739999999999</v>
      </c>
      <c r="BE20" s="84">
        <v>1291.7750000000001</v>
      </c>
      <c r="BF20" s="84">
        <v>1290.105</v>
      </c>
      <c r="BG20" s="84">
        <v>1285.0730000000001</v>
      </c>
      <c r="BH20" s="84">
        <v>1285.163</v>
      </c>
      <c r="BI20" s="84">
        <v>1286.712</v>
      </c>
      <c r="BJ20" s="83">
        <v>1312.91</v>
      </c>
      <c r="BK20" s="83">
        <v>1314.7090000000001</v>
      </c>
      <c r="BL20" s="83">
        <v>1320.4469999999999</v>
      </c>
      <c r="BM20" s="84">
        <v>1324.0360000000001</v>
      </c>
      <c r="BN20" s="84">
        <v>1327.932</v>
      </c>
      <c r="BO20" s="84">
        <v>1319.221</v>
      </c>
      <c r="BP20" s="84">
        <v>1298.5650000000001</v>
      </c>
      <c r="BQ20" s="84">
        <v>1312.0070000000001</v>
      </c>
      <c r="BR20" s="84">
        <v>1302.5650000000001</v>
      </c>
      <c r="BS20" s="86">
        <f>1303784/1000</f>
        <v>1303.7840000000001</v>
      </c>
      <c r="BT20" s="83">
        <v>1309.4839999999999</v>
      </c>
      <c r="BU20" s="87">
        <v>1313.1959999999999</v>
      </c>
      <c r="BV20" s="87">
        <v>1336.1559999999999</v>
      </c>
      <c r="BW20" s="87">
        <v>1338.396</v>
      </c>
      <c r="BX20" s="87">
        <v>1337.9169999999999</v>
      </c>
      <c r="BY20" s="87">
        <v>1342.914</v>
      </c>
      <c r="BZ20" s="87">
        <v>1347.7650000000001</v>
      </c>
      <c r="CA20" s="87">
        <v>1339.9069999999999</v>
      </c>
      <c r="CB20" s="87">
        <v>1332.742</v>
      </c>
      <c r="CC20" s="87">
        <v>1328.6959999999999</v>
      </c>
      <c r="CD20" s="87">
        <v>1325.9849999999999</v>
      </c>
      <c r="CE20" s="87">
        <v>1324.7829999999999</v>
      </c>
      <c r="CF20" s="87">
        <v>1327.3409999999999</v>
      </c>
      <c r="CG20" s="87">
        <v>1329.5989999999999</v>
      </c>
      <c r="CH20" s="87">
        <v>1444.5530000000001</v>
      </c>
      <c r="CI20" s="87">
        <v>1491.338</v>
      </c>
      <c r="CJ20" s="87">
        <v>1492.163</v>
      </c>
      <c r="CK20" s="87">
        <v>1499.6579999999999</v>
      </c>
      <c r="CL20" s="87">
        <v>1500.0630000000001</v>
      </c>
      <c r="CM20" s="87">
        <v>1487.7059999999999</v>
      </c>
      <c r="CN20" s="87">
        <v>1475.0650000000001</v>
      </c>
      <c r="CO20" s="87">
        <v>1467.443</v>
      </c>
      <c r="CP20" s="87">
        <v>1463.5319999999999</v>
      </c>
      <c r="CQ20" s="87">
        <v>1460.643</v>
      </c>
      <c r="CR20" s="87">
        <v>1454.646</v>
      </c>
      <c r="CS20" s="87">
        <v>1465.461</v>
      </c>
      <c r="CT20" s="87">
        <v>1452.375</v>
      </c>
      <c r="CU20" s="87">
        <v>1466.4090000000001</v>
      </c>
      <c r="CV20" s="87">
        <v>1458.626</v>
      </c>
      <c r="CW20" s="87">
        <v>1446.384</v>
      </c>
      <c r="CX20" s="87">
        <v>1448.6579999999999</v>
      </c>
      <c r="CY20" s="87">
        <v>1429.8420000000001</v>
      </c>
      <c r="CZ20" s="87">
        <v>1422.223</v>
      </c>
      <c r="DA20" s="87">
        <v>1425.25</v>
      </c>
      <c r="DB20" s="87">
        <v>1414.296</v>
      </c>
      <c r="DC20" s="87">
        <v>1389.0350000000001</v>
      </c>
      <c r="DD20" s="87">
        <v>1381.1790000000001</v>
      </c>
      <c r="DE20" s="87">
        <v>1385.191</v>
      </c>
      <c r="DF20" s="87">
        <v>1445.7560000000001</v>
      </c>
      <c r="DG20" s="87">
        <v>1445.104</v>
      </c>
      <c r="DH20" s="87">
        <v>1445.691</v>
      </c>
      <c r="DI20" s="87">
        <v>1450.9970000000001</v>
      </c>
      <c r="DJ20" s="87">
        <v>1460.4280000000001</v>
      </c>
      <c r="DK20" s="87">
        <v>1458.17</v>
      </c>
      <c r="DL20" s="87">
        <v>1444.924</v>
      </c>
      <c r="DM20" s="87">
        <v>1431.0029999999999</v>
      </c>
      <c r="DN20" s="87">
        <v>1418.5830000000001</v>
      </c>
      <c r="DO20" s="82">
        <v>1428.7049999999999</v>
      </c>
      <c r="DP20" s="82">
        <v>1427.0730000000001</v>
      </c>
      <c r="DQ20" s="82">
        <v>1498.2049999999999</v>
      </c>
      <c r="DR20" s="82">
        <v>1497.692</v>
      </c>
      <c r="DS20" s="82">
        <v>1510.8889999999999</v>
      </c>
      <c r="DT20" s="82">
        <v>1501.42</v>
      </c>
      <c r="DU20" s="82">
        <v>1503.0530000000001</v>
      </c>
      <c r="DV20" s="82">
        <v>1504.499</v>
      </c>
      <c r="DW20" s="82">
        <v>1503.16</v>
      </c>
      <c r="DX20" s="82">
        <v>1501.3030000000001</v>
      </c>
      <c r="DY20" s="82">
        <v>1497.9069999999999</v>
      </c>
      <c r="DZ20" s="82">
        <v>1498.258</v>
      </c>
      <c r="EA20" s="144">
        <v>1486.5440000000001</v>
      </c>
    </row>
    <row r="21" spans="1:131" s="8" customFormat="1" ht="16" customHeight="1" x14ac:dyDescent="0.25">
      <c r="A21" s="51" t="s">
        <v>15</v>
      </c>
      <c r="B21" s="88">
        <v>251.82347999999999</v>
      </c>
      <c r="C21" s="88">
        <v>251.00067999999999</v>
      </c>
      <c r="D21" s="88">
        <v>250.68492000000001</v>
      </c>
      <c r="E21" s="88">
        <v>250.00164000000001</v>
      </c>
      <c r="F21" s="88">
        <v>249.40434999999999</v>
      </c>
      <c r="G21" s="88">
        <v>246.0966</v>
      </c>
      <c r="H21" s="88">
        <v>245.59700000000001</v>
      </c>
      <c r="I21" s="88">
        <v>245.58500000000001</v>
      </c>
      <c r="J21" s="88">
        <v>246.70400000000001</v>
      </c>
      <c r="K21" s="88">
        <v>246.678</v>
      </c>
      <c r="L21" s="88">
        <v>248.13900000000001</v>
      </c>
      <c r="M21" s="88">
        <v>248.99600000000001</v>
      </c>
      <c r="N21" s="88">
        <v>247.70099999999999</v>
      </c>
      <c r="O21" s="88">
        <v>244.023</v>
      </c>
      <c r="P21" s="88">
        <v>242.66399999999999</v>
      </c>
      <c r="Q21" s="88">
        <v>241.00899999999999</v>
      </c>
      <c r="R21" s="88">
        <v>240.33799999999999</v>
      </c>
      <c r="S21" s="88">
        <v>237.19</v>
      </c>
      <c r="T21" s="88">
        <v>236.185</v>
      </c>
      <c r="U21" s="88">
        <v>235.381</v>
      </c>
      <c r="V21" s="88">
        <v>236.85300000000001</v>
      </c>
      <c r="W21" s="88">
        <v>237.518</v>
      </c>
      <c r="X21" s="88">
        <v>239.03800000000001</v>
      </c>
      <c r="Y21" s="88">
        <v>238.89500000000001</v>
      </c>
      <c r="Z21" s="88">
        <v>235.05799999999999</v>
      </c>
      <c r="AA21" s="88">
        <v>233.74</v>
      </c>
      <c r="AB21" s="88">
        <v>231.779</v>
      </c>
      <c r="AC21" s="88">
        <v>230.726</v>
      </c>
      <c r="AD21" s="88">
        <v>230.10400000000001</v>
      </c>
      <c r="AE21" s="88">
        <v>229.02699999999999</v>
      </c>
      <c r="AF21" s="88">
        <v>227.70599999999999</v>
      </c>
      <c r="AG21" s="88">
        <v>227.12799999999999</v>
      </c>
      <c r="AH21" s="88">
        <v>228.08799999999999</v>
      </c>
      <c r="AI21" s="88">
        <v>227.34299999999999</v>
      </c>
      <c r="AJ21" s="88">
        <v>227.952</v>
      </c>
      <c r="AK21" s="88">
        <v>228.65600000000001</v>
      </c>
      <c r="AL21" s="88">
        <v>226.363</v>
      </c>
      <c r="AM21" s="88">
        <v>225.93899999999999</v>
      </c>
      <c r="AN21" s="88">
        <v>224.511</v>
      </c>
      <c r="AO21" s="88">
        <v>223.01400000000001</v>
      </c>
      <c r="AP21" s="88">
        <v>223.56700000000001</v>
      </c>
      <c r="AQ21" s="88">
        <v>222.15199999999999</v>
      </c>
      <c r="AR21" s="89">
        <v>222.404</v>
      </c>
      <c r="AS21" s="89">
        <v>222.41800000000001</v>
      </c>
      <c r="AT21" s="89">
        <v>224.08500000000001</v>
      </c>
      <c r="AU21" s="88">
        <v>223.55600000000001</v>
      </c>
      <c r="AV21" s="88">
        <v>226.77799999999999</v>
      </c>
      <c r="AW21" s="88">
        <v>227.01499999999999</v>
      </c>
      <c r="AX21" s="90">
        <v>243.49299999999999</v>
      </c>
      <c r="AY21" s="90">
        <v>241.26400000000001</v>
      </c>
      <c r="AZ21" s="90">
        <v>237.464</v>
      </c>
      <c r="BA21" s="91">
        <v>236.702</v>
      </c>
      <c r="BB21" s="91">
        <v>238.733</v>
      </c>
      <c r="BC21" s="91">
        <v>237.28100000000001</v>
      </c>
      <c r="BD21" s="90">
        <v>234.91</v>
      </c>
      <c r="BE21" s="90">
        <v>235.572</v>
      </c>
      <c r="BF21" s="90">
        <v>235.774</v>
      </c>
      <c r="BG21" s="90">
        <v>235.471</v>
      </c>
      <c r="BH21" s="90">
        <v>235.47399999999999</v>
      </c>
      <c r="BI21" s="90">
        <v>235.69499999999999</v>
      </c>
      <c r="BJ21" s="89">
        <v>241.52699999999999</v>
      </c>
      <c r="BK21" s="89">
        <v>241.87200000000001</v>
      </c>
      <c r="BL21" s="89">
        <v>240.69200000000001</v>
      </c>
      <c r="BM21" s="90">
        <v>240.64500000000001</v>
      </c>
      <c r="BN21" s="90">
        <v>255.75</v>
      </c>
      <c r="BO21" s="90">
        <v>236.3</v>
      </c>
      <c r="BP21" s="90">
        <v>231.113</v>
      </c>
      <c r="BQ21" s="90">
        <v>234.15299999999999</v>
      </c>
      <c r="BR21" s="90">
        <v>233.25</v>
      </c>
      <c r="BS21" s="92">
        <f>233802/1000</f>
        <v>233.80199999999999</v>
      </c>
      <c r="BT21" s="89">
        <v>234.309</v>
      </c>
      <c r="BU21" s="93">
        <v>235.273</v>
      </c>
      <c r="BV21" s="93">
        <v>240.81700000000001</v>
      </c>
      <c r="BW21" s="93">
        <v>239.89400000000001</v>
      </c>
      <c r="BX21" s="93">
        <v>238.203</v>
      </c>
      <c r="BY21" s="93">
        <v>236.21199999999999</v>
      </c>
      <c r="BZ21" s="93">
        <v>235.64500000000001</v>
      </c>
      <c r="CA21" s="93">
        <v>234.01</v>
      </c>
      <c r="CB21" s="93">
        <v>232.702</v>
      </c>
      <c r="CC21" s="93">
        <v>231.21600000000001</v>
      </c>
      <c r="CD21" s="93">
        <v>233.078</v>
      </c>
      <c r="CE21" s="93">
        <v>233.727</v>
      </c>
      <c r="CF21" s="93">
        <v>234.59899999999999</v>
      </c>
      <c r="CG21" s="93">
        <v>235.49100000000001</v>
      </c>
      <c r="CH21" s="93">
        <v>287.19400000000002</v>
      </c>
      <c r="CI21" s="93">
        <v>282.358</v>
      </c>
      <c r="CJ21" s="93">
        <v>276.29500000000002</v>
      </c>
      <c r="CK21" s="93">
        <v>274.60500000000002</v>
      </c>
      <c r="CL21" s="93">
        <v>274.75</v>
      </c>
      <c r="CM21" s="93">
        <v>272.93799999999999</v>
      </c>
      <c r="CN21" s="93">
        <v>269.84300000000002</v>
      </c>
      <c r="CO21" s="93">
        <v>268.596</v>
      </c>
      <c r="CP21" s="93">
        <v>268.28500000000003</v>
      </c>
      <c r="CQ21" s="93">
        <v>268.30099999999999</v>
      </c>
      <c r="CR21" s="93">
        <v>271.19099999999997</v>
      </c>
      <c r="CS21" s="93">
        <v>271.04599999999999</v>
      </c>
      <c r="CT21" s="93">
        <v>270.15800000000002</v>
      </c>
      <c r="CU21" s="93">
        <v>269.67</v>
      </c>
      <c r="CV21" s="93">
        <v>266.928</v>
      </c>
      <c r="CW21" s="93">
        <v>260.81599999999997</v>
      </c>
      <c r="CX21" s="93">
        <v>258.59500000000003</v>
      </c>
      <c r="CY21" s="93">
        <v>256.35300000000001</v>
      </c>
      <c r="CZ21" s="93">
        <v>253.92400000000001</v>
      </c>
      <c r="DA21" s="93">
        <v>253.577</v>
      </c>
      <c r="DB21" s="93">
        <v>250.751</v>
      </c>
      <c r="DC21" s="93">
        <v>249.76</v>
      </c>
      <c r="DD21" s="93">
        <v>249.21600000000001</v>
      </c>
      <c r="DE21" s="93">
        <v>248.40700000000001</v>
      </c>
      <c r="DF21" s="93">
        <v>260.74400000000003</v>
      </c>
      <c r="DG21" s="93">
        <v>259.649</v>
      </c>
      <c r="DH21" s="93">
        <v>259.15800000000002</v>
      </c>
      <c r="DI21" s="93">
        <v>258.447</v>
      </c>
      <c r="DJ21" s="93">
        <v>259.23700000000002</v>
      </c>
      <c r="DK21" s="93">
        <v>258.51600000000002</v>
      </c>
      <c r="DL21" s="93">
        <v>257.43700000000001</v>
      </c>
      <c r="DM21" s="93">
        <v>258.08199999999999</v>
      </c>
      <c r="DN21" s="93">
        <v>259.81700000000001</v>
      </c>
      <c r="DO21" s="88">
        <v>263.23700000000002</v>
      </c>
      <c r="DP21" s="88">
        <v>260.17200000000003</v>
      </c>
      <c r="DQ21" s="88">
        <v>259.27600000000001</v>
      </c>
      <c r="DR21" s="88">
        <v>270.88499999999999</v>
      </c>
      <c r="DS21" s="88">
        <v>271.50299999999999</v>
      </c>
      <c r="DT21" s="88">
        <v>268.32299999999998</v>
      </c>
      <c r="DU21" s="135">
        <v>267.71699999999998</v>
      </c>
      <c r="DV21" s="135">
        <v>266.79700000000003</v>
      </c>
      <c r="DW21" s="135">
        <v>267.63499999999999</v>
      </c>
      <c r="DX21" s="135">
        <v>268.05900000000003</v>
      </c>
      <c r="DY21" s="135">
        <v>268.67</v>
      </c>
      <c r="DZ21" s="135">
        <v>270.19299999999998</v>
      </c>
      <c r="EA21" s="145">
        <v>268.25099999999998</v>
      </c>
    </row>
    <row r="22" spans="1:131" s="8" customFormat="1" ht="16" customHeight="1" x14ac:dyDescent="0.25">
      <c r="A22" s="66" t="s">
        <v>16</v>
      </c>
      <c r="B22" s="82">
        <v>139.10344000000001</v>
      </c>
      <c r="C22" s="82">
        <v>138.69355999999999</v>
      </c>
      <c r="D22" s="82">
        <v>139.30280000000002</v>
      </c>
      <c r="E22" s="82">
        <v>139.10208000000003</v>
      </c>
      <c r="F22" s="82">
        <v>139.39893000000001</v>
      </c>
      <c r="G22" s="82">
        <v>138.1104</v>
      </c>
      <c r="H22" s="82">
        <v>138.43899999999999</v>
      </c>
      <c r="I22" s="82">
        <v>137.43899999999999</v>
      </c>
      <c r="J22" s="82">
        <v>135.77099999999999</v>
      </c>
      <c r="K22" s="82">
        <v>136.34700000000001</v>
      </c>
      <c r="L22" s="82">
        <v>136.535</v>
      </c>
      <c r="M22" s="82">
        <v>136.30099999999999</v>
      </c>
      <c r="N22" s="82">
        <v>135.28399999999999</v>
      </c>
      <c r="O22" s="82">
        <v>134.381</v>
      </c>
      <c r="P22" s="82">
        <v>134.12</v>
      </c>
      <c r="Q22" s="82">
        <v>133.74799999999999</v>
      </c>
      <c r="R22" s="82">
        <v>133.67099999999999</v>
      </c>
      <c r="S22" s="82">
        <v>132.50299999999999</v>
      </c>
      <c r="T22" s="82">
        <v>131.48599999999999</v>
      </c>
      <c r="U22" s="82">
        <v>130.10300000000001</v>
      </c>
      <c r="V22" s="82">
        <v>129.125</v>
      </c>
      <c r="W22" s="82">
        <v>128.959</v>
      </c>
      <c r="X22" s="82">
        <v>129.56700000000001</v>
      </c>
      <c r="Y22" s="82">
        <v>129.42500000000001</v>
      </c>
      <c r="Z22" s="82">
        <v>128.387</v>
      </c>
      <c r="AA22" s="82">
        <v>127.52500000000001</v>
      </c>
      <c r="AB22" s="82">
        <v>127.017</v>
      </c>
      <c r="AC22" s="82">
        <v>126.831</v>
      </c>
      <c r="AD22" s="82">
        <v>126.48399999999999</v>
      </c>
      <c r="AE22" s="82">
        <v>126.264</v>
      </c>
      <c r="AF22" s="82">
        <v>125.80200000000001</v>
      </c>
      <c r="AG22" s="82">
        <v>124.962</v>
      </c>
      <c r="AH22" s="82">
        <v>124.17400000000001</v>
      </c>
      <c r="AI22" s="82">
        <v>123.35899999999999</v>
      </c>
      <c r="AJ22" s="82">
        <v>124.15900000000001</v>
      </c>
      <c r="AK22" s="82">
        <v>124.306</v>
      </c>
      <c r="AL22" s="82">
        <v>123.708</v>
      </c>
      <c r="AM22" s="82">
        <v>123.795</v>
      </c>
      <c r="AN22" s="82">
        <v>123.782</v>
      </c>
      <c r="AO22" s="82">
        <v>122.675</v>
      </c>
      <c r="AP22" s="82">
        <v>122.654</v>
      </c>
      <c r="AQ22" s="82">
        <v>121.98699999999999</v>
      </c>
      <c r="AR22" s="83">
        <v>121.35899999999999</v>
      </c>
      <c r="AS22" s="83">
        <v>120.078</v>
      </c>
      <c r="AT22" s="83">
        <v>120.96599999999999</v>
      </c>
      <c r="AU22" s="82">
        <v>120.34099999999999</v>
      </c>
      <c r="AV22" s="82">
        <v>120.51</v>
      </c>
      <c r="AW22" s="82">
        <v>120.97499999999999</v>
      </c>
      <c r="AX22" s="84">
        <v>122.474</v>
      </c>
      <c r="AY22" s="84">
        <v>122.845</v>
      </c>
      <c r="AZ22" s="84">
        <v>122.375</v>
      </c>
      <c r="BA22" s="85">
        <v>121.994</v>
      </c>
      <c r="BB22" s="85">
        <v>122.04900000000001</v>
      </c>
      <c r="BC22" s="85">
        <v>122.108</v>
      </c>
      <c r="BD22" s="84">
        <v>122.292</v>
      </c>
      <c r="BE22" s="84">
        <v>122.244</v>
      </c>
      <c r="BF22" s="84">
        <v>122.008</v>
      </c>
      <c r="BG22" s="84">
        <v>121.824</v>
      </c>
      <c r="BH22" s="84">
        <v>123.008</v>
      </c>
      <c r="BI22" s="84">
        <v>124.048</v>
      </c>
      <c r="BJ22" s="83">
        <v>127.006</v>
      </c>
      <c r="BK22" s="83">
        <v>126.151</v>
      </c>
      <c r="BL22" s="83">
        <v>125.80200000000001</v>
      </c>
      <c r="BM22" s="84">
        <v>126.38500000000001</v>
      </c>
      <c r="BN22" s="84">
        <v>126.38200000000001</v>
      </c>
      <c r="BO22" s="84">
        <v>125.526</v>
      </c>
      <c r="BP22" s="84">
        <v>122.176</v>
      </c>
      <c r="BQ22" s="84">
        <v>124.10899999999999</v>
      </c>
      <c r="BR22" s="84">
        <v>123.879</v>
      </c>
      <c r="BS22" s="86">
        <f>123899/1000</f>
        <v>123.899</v>
      </c>
      <c r="BT22" s="83">
        <v>124.139</v>
      </c>
      <c r="BU22" s="87">
        <v>126.333</v>
      </c>
      <c r="BV22" s="87">
        <v>130.52099999999999</v>
      </c>
      <c r="BW22" s="87">
        <v>130.703</v>
      </c>
      <c r="BX22" s="87">
        <v>129.78</v>
      </c>
      <c r="BY22" s="87">
        <v>129.49700000000001</v>
      </c>
      <c r="BZ22" s="87">
        <v>130.57499999999999</v>
      </c>
      <c r="CA22" s="87">
        <v>129.91</v>
      </c>
      <c r="CB22" s="87">
        <v>131.12100000000001</v>
      </c>
      <c r="CC22" s="87">
        <v>130.44900000000001</v>
      </c>
      <c r="CD22" s="87">
        <v>128.85</v>
      </c>
      <c r="CE22" s="87">
        <v>128.75</v>
      </c>
      <c r="CF22" s="87">
        <v>128.1</v>
      </c>
      <c r="CG22" s="87">
        <v>127.985</v>
      </c>
      <c r="CH22" s="87">
        <v>138.71600000000001</v>
      </c>
      <c r="CI22" s="87">
        <v>140.124</v>
      </c>
      <c r="CJ22" s="87">
        <v>138.08099999999999</v>
      </c>
      <c r="CK22" s="87">
        <v>137.464</v>
      </c>
      <c r="CL22" s="87">
        <v>137.50299999999999</v>
      </c>
      <c r="CM22" s="87">
        <v>136.82300000000001</v>
      </c>
      <c r="CN22" s="87">
        <v>136.994</v>
      </c>
      <c r="CO22" s="87">
        <v>136.07300000000001</v>
      </c>
      <c r="CP22" s="87">
        <v>135.846</v>
      </c>
      <c r="CQ22" s="87">
        <v>138.358</v>
      </c>
      <c r="CR22" s="87">
        <v>133.982</v>
      </c>
      <c r="CS22" s="87">
        <v>134.46899999999999</v>
      </c>
      <c r="CT22" s="87">
        <v>134.154</v>
      </c>
      <c r="CU22" s="87">
        <v>133.55000000000001</v>
      </c>
      <c r="CV22" s="87">
        <v>132.197</v>
      </c>
      <c r="CW22" s="87">
        <v>132.10599999999999</v>
      </c>
      <c r="CX22" s="87">
        <v>132.42099999999999</v>
      </c>
      <c r="CY22" s="87">
        <v>131.14599999999999</v>
      </c>
      <c r="CZ22" s="87">
        <v>131.58600000000001</v>
      </c>
      <c r="DA22" s="87">
        <v>131.80199999999999</v>
      </c>
      <c r="DB22" s="87">
        <v>131.52099999999999</v>
      </c>
      <c r="DC22" s="87">
        <v>129.63999999999999</v>
      </c>
      <c r="DD22" s="87">
        <v>127.96899999999999</v>
      </c>
      <c r="DE22" s="87">
        <v>127.73399999999999</v>
      </c>
      <c r="DF22" s="87">
        <v>128.857</v>
      </c>
      <c r="DG22" s="87">
        <v>130.69999999999999</v>
      </c>
      <c r="DH22" s="87">
        <v>130.67699999999999</v>
      </c>
      <c r="DI22" s="87">
        <v>133.279</v>
      </c>
      <c r="DJ22" s="87">
        <v>134.321</v>
      </c>
      <c r="DK22" s="87">
        <v>138.77099999999999</v>
      </c>
      <c r="DL22" s="87">
        <v>133.654</v>
      </c>
      <c r="DM22" s="87">
        <v>133.26400000000001</v>
      </c>
      <c r="DN22" s="87">
        <v>133.696</v>
      </c>
      <c r="DO22" s="82">
        <v>138.29</v>
      </c>
      <c r="DP22" s="82">
        <v>138.52500000000001</v>
      </c>
      <c r="DQ22" s="82">
        <v>135.124</v>
      </c>
      <c r="DR22" s="82">
        <v>145.077</v>
      </c>
      <c r="DS22" s="82">
        <v>144.774</v>
      </c>
      <c r="DT22" s="82">
        <v>143.57</v>
      </c>
      <c r="DU22" s="82">
        <v>142.857</v>
      </c>
      <c r="DV22" s="82">
        <v>143.41800000000001</v>
      </c>
      <c r="DW22" s="82">
        <v>143.411</v>
      </c>
      <c r="DX22" s="82">
        <v>143.58600000000001</v>
      </c>
      <c r="DY22" s="82">
        <v>144.21100000000001</v>
      </c>
      <c r="DZ22" s="82">
        <v>144.85599999999999</v>
      </c>
      <c r="EA22" s="144">
        <v>143.316</v>
      </c>
    </row>
    <row r="23" spans="1:131" s="8" customFormat="1" ht="16" customHeight="1" x14ac:dyDescent="0.25">
      <c r="A23" s="51" t="s">
        <v>17</v>
      </c>
      <c r="B23" s="88">
        <v>108.18522</v>
      </c>
      <c r="C23" s="88">
        <v>107.97487999999998</v>
      </c>
      <c r="D23" s="88">
        <v>109.02407000000001</v>
      </c>
      <c r="E23" s="88">
        <v>107.884</v>
      </c>
      <c r="F23" s="88">
        <v>108.38175</v>
      </c>
      <c r="G23" s="88">
        <v>106.90859999999999</v>
      </c>
      <c r="H23" s="88">
        <v>105.99</v>
      </c>
      <c r="I23" s="88">
        <v>105.27800000000001</v>
      </c>
      <c r="J23" s="88">
        <v>105.152</v>
      </c>
      <c r="K23" s="88">
        <v>105.065</v>
      </c>
      <c r="L23" s="88">
        <v>104.995</v>
      </c>
      <c r="M23" s="88">
        <v>104.874</v>
      </c>
      <c r="N23" s="88">
        <v>104.58499999999999</v>
      </c>
      <c r="O23" s="88">
        <v>104.056</v>
      </c>
      <c r="P23" s="88">
        <v>103.73399999999999</v>
      </c>
      <c r="Q23" s="88">
        <v>103.401</v>
      </c>
      <c r="R23" s="88">
        <v>103.40300000000001</v>
      </c>
      <c r="S23" s="88">
        <v>103.259</v>
      </c>
      <c r="T23" s="88">
        <v>102.105</v>
      </c>
      <c r="U23" s="88">
        <v>101.363</v>
      </c>
      <c r="V23" s="88">
        <v>100.756</v>
      </c>
      <c r="W23" s="88">
        <v>100.09699999999999</v>
      </c>
      <c r="X23" s="88">
        <v>99.965000000000003</v>
      </c>
      <c r="Y23" s="88">
        <v>102.44799999999999</v>
      </c>
      <c r="Z23" s="88">
        <v>99.046999999999997</v>
      </c>
      <c r="AA23" s="88">
        <v>98.179000000000002</v>
      </c>
      <c r="AB23" s="88">
        <v>97.832999999999998</v>
      </c>
      <c r="AC23" s="88">
        <v>97.623999999999995</v>
      </c>
      <c r="AD23" s="88">
        <v>97.45</v>
      </c>
      <c r="AE23" s="88">
        <v>96.947000000000003</v>
      </c>
      <c r="AF23" s="88">
        <v>96.804000000000002</v>
      </c>
      <c r="AG23" s="88">
        <v>96.363</v>
      </c>
      <c r="AH23" s="88">
        <v>96.105999999999995</v>
      </c>
      <c r="AI23" s="88">
        <v>95.230999999999995</v>
      </c>
      <c r="AJ23" s="88">
        <v>95.787999999999997</v>
      </c>
      <c r="AK23" s="88">
        <v>96.331999999999994</v>
      </c>
      <c r="AL23" s="88">
        <v>95.921999999999997</v>
      </c>
      <c r="AM23" s="88">
        <v>95.444000000000003</v>
      </c>
      <c r="AN23" s="88">
        <v>95.106999999999999</v>
      </c>
      <c r="AO23" s="88">
        <v>94.468999999999994</v>
      </c>
      <c r="AP23" s="88">
        <v>94.477999999999994</v>
      </c>
      <c r="AQ23" s="88">
        <v>93.9</v>
      </c>
      <c r="AR23" s="89">
        <v>93.587000000000003</v>
      </c>
      <c r="AS23" s="89">
        <v>93.3</v>
      </c>
      <c r="AT23" s="89">
        <v>92.926000000000002</v>
      </c>
      <c r="AU23" s="88">
        <v>92.846000000000004</v>
      </c>
      <c r="AV23" s="88">
        <v>92.653999999999996</v>
      </c>
      <c r="AW23" s="88">
        <v>93.09</v>
      </c>
      <c r="AX23" s="90">
        <v>98.236999999999995</v>
      </c>
      <c r="AY23" s="90">
        <v>97.986000000000004</v>
      </c>
      <c r="AZ23" s="90">
        <v>96.698999999999998</v>
      </c>
      <c r="BA23" s="91">
        <v>96.649000000000001</v>
      </c>
      <c r="BB23" s="91">
        <v>96.492000000000004</v>
      </c>
      <c r="BC23" s="91">
        <v>95.388999999999996</v>
      </c>
      <c r="BD23" s="90">
        <v>95.406999999999996</v>
      </c>
      <c r="BE23" s="90">
        <v>95.197999999999993</v>
      </c>
      <c r="BF23" s="90">
        <v>94.885000000000005</v>
      </c>
      <c r="BG23" s="90">
        <v>95.055999999999997</v>
      </c>
      <c r="BH23" s="90">
        <v>94.751999999999995</v>
      </c>
      <c r="BI23" s="90">
        <v>95.402000000000001</v>
      </c>
      <c r="BJ23" s="89">
        <v>97.753</v>
      </c>
      <c r="BK23" s="89">
        <v>97.625</v>
      </c>
      <c r="BL23" s="89">
        <v>97.078000000000003</v>
      </c>
      <c r="BM23" s="90">
        <v>96.941000000000003</v>
      </c>
      <c r="BN23" s="90">
        <v>97.188999999999993</v>
      </c>
      <c r="BO23" s="90">
        <v>96.823999999999998</v>
      </c>
      <c r="BP23" s="90">
        <v>95.069000000000003</v>
      </c>
      <c r="BQ23" s="90">
        <v>95.813999999999993</v>
      </c>
      <c r="BR23" s="90">
        <v>94.213999999999999</v>
      </c>
      <c r="BS23" s="92">
        <f>94834/1000</f>
        <v>94.834000000000003</v>
      </c>
      <c r="BT23" s="89">
        <v>94.801000000000002</v>
      </c>
      <c r="BU23" s="93">
        <v>94.337999999999994</v>
      </c>
      <c r="BV23" s="93">
        <v>96.966999999999999</v>
      </c>
      <c r="BW23" s="93">
        <v>96.501000000000005</v>
      </c>
      <c r="BX23" s="93">
        <v>95.977000000000004</v>
      </c>
      <c r="BY23" s="93">
        <v>95.81</v>
      </c>
      <c r="BZ23" s="93">
        <v>95.555000000000007</v>
      </c>
      <c r="CA23" s="93">
        <v>95.444000000000003</v>
      </c>
      <c r="CB23" s="93">
        <v>95.293999999999997</v>
      </c>
      <c r="CC23" s="93">
        <v>94.156999999999996</v>
      </c>
      <c r="CD23" s="93">
        <v>93.850999999999999</v>
      </c>
      <c r="CE23" s="93">
        <v>93.045000000000002</v>
      </c>
      <c r="CF23" s="93">
        <v>92.989000000000004</v>
      </c>
      <c r="CG23" s="93">
        <v>92.941000000000003</v>
      </c>
      <c r="CH23" s="93">
        <v>100.583</v>
      </c>
      <c r="CI23" s="93">
        <v>102.941</v>
      </c>
      <c r="CJ23" s="93">
        <v>102.56699999999999</v>
      </c>
      <c r="CK23" s="93">
        <v>102.396</v>
      </c>
      <c r="CL23" s="93">
        <v>102.986</v>
      </c>
      <c r="CM23" s="93">
        <v>102.44199999999999</v>
      </c>
      <c r="CN23" s="93">
        <v>101.985</v>
      </c>
      <c r="CO23" s="93">
        <v>101.58799999999999</v>
      </c>
      <c r="CP23" s="93">
        <v>101.422</v>
      </c>
      <c r="CQ23" s="93">
        <v>100.893</v>
      </c>
      <c r="CR23" s="93">
        <v>101.44</v>
      </c>
      <c r="CS23" s="93">
        <v>101.98399999999999</v>
      </c>
      <c r="CT23" s="93">
        <v>102.489</v>
      </c>
      <c r="CU23" s="93">
        <v>101.941</v>
      </c>
      <c r="CV23" s="93">
        <v>101.006</v>
      </c>
      <c r="CW23" s="93">
        <v>100.566</v>
      </c>
      <c r="CX23" s="93">
        <v>99.765000000000001</v>
      </c>
      <c r="CY23" s="93">
        <v>98.245000000000005</v>
      </c>
      <c r="CZ23" s="93">
        <v>98.021000000000001</v>
      </c>
      <c r="DA23" s="93">
        <v>97.653999999999996</v>
      </c>
      <c r="DB23" s="93">
        <v>97.525999999999996</v>
      </c>
      <c r="DC23" s="93">
        <v>96.744</v>
      </c>
      <c r="DD23" s="93">
        <v>96.444999999999993</v>
      </c>
      <c r="DE23" s="93">
        <v>96.251999999999995</v>
      </c>
      <c r="DF23" s="93">
        <v>101.611</v>
      </c>
      <c r="DG23" s="93">
        <v>101.74299999999999</v>
      </c>
      <c r="DH23" s="93">
        <v>101.926</v>
      </c>
      <c r="DI23" s="93">
        <v>101.899</v>
      </c>
      <c r="DJ23" s="93">
        <v>101.91800000000001</v>
      </c>
      <c r="DK23" s="93">
        <v>101.4</v>
      </c>
      <c r="DL23" s="93">
        <v>100.625</v>
      </c>
      <c r="DM23" s="93">
        <v>100.99299999999999</v>
      </c>
      <c r="DN23" s="93">
        <v>100.32599999999999</v>
      </c>
      <c r="DO23" s="88">
        <v>101.25</v>
      </c>
      <c r="DP23" s="88">
        <v>102.577</v>
      </c>
      <c r="DQ23" s="88">
        <v>101.29</v>
      </c>
      <c r="DR23" s="88">
        <v>102.134</v>
      </c>
      <c r="DS23" s="88">
        <v>103.43600000000001</v>
      </c>
      <c r="DT23" s="88">
        <v>105.59</v>
      </c>
      <c r="DU23" s="135">
        <v>105.962</v>
      </c>
      <c r="DV23" s="135">
        <v>105.813</v>
      </c>
      <c r="DW23" s="135">
        <v>105.64400000000001</v>
      </c>
      <c r="DX23" s="135">
        <v>106.242</v>
      </c>
      <c r="DY23" s="135">
        <v>107.402</v>
      </c>
      <c r="DZ23" s="135">
        <v>108.303</v>
      </c>
      <c r="EA23" s="145">
        <v>108.876</v>
      </c>
    </row>
    <row r="24" spans="1:131" s="8" customFormat="1" ht="16" customHeight="1" x14ac:dyDescent="0.25">
      <c r="A24" s="66" t="s">
        <v>18</v>
      </c>
      <c r="B24" s="82">
        <v>80.658240000000006</v>
      </c>
      <c r="C24" s="82">
        <v>80.292049999999989</v>
      </c>
      <c r="D24" s="82">
        <v>79.804400000000001</v>
      </c>
      <c r="E24" s="82">
        <v>79.706199999999995</v>
      </c>
      <c r="F24" s="82">
        <v>78.761859999999999</v>
      </c>
      <c r="G24" s="82">
        <v>77.51091000000001</v>
      </c>
      <c r="H24" s="82">
        <v>76.316999999999993</v>
      </c>
      <c r="I24" s="82">
        <v>75.52</v>
      </c>
      <c r="J24" s="82">
        <v>75.191999999999993</v>
      </c>
      <c r="K24" s="82">
        <v>75.567999999999998</v>
      </c>
      <c r="L24" s="82">
        <v>75.343999999999994</v>
      </c>
      <c r="M24" s="82">
        <v>75.372</v>
      </c>
      <c r="N24" s="82">
        <v>75.728999999999999</v>
      </c>
      <c r="O24" s="82">
        <v>75.099000000000004</v>
      </c>
      <c r="P24" s="82">
        <v>75.039000000000001</v>
      </c>
      <c r="Q24" s="82">
        <v>75.025999999999996</v>
      </c>
      <c r="R24" s="82">
        <v>74.805999999999997</v>
      </c>
      <c r="S24" s="82">
        <v>73.644000000000005</v>
      </c>
      <c r="T24" s="82">
        <v>72.703000000000003</v>
      </c>
      <c r="U24" s="82">
        <v>72.308000000000007</v>
      </c>
      <c r="V24" s="82">
        <v>71.858000000000004</v>
      </c>
      <c r="W24" s="82">
        <v>71.763999999999996</v>
      </c>
      <c r="X24" s="82">
        <v>72.177000000000007</v>
      </c>
      <c r="Y24" s="82">
        <v>72.594999999999999</v>
      </c>
      <c r="Z24" s="82">
        <v>71.769000000000005</v>
      </c>
      <c r="AA24" s="82">
        <v>71.418000000000006</v>
      </c>
      <c r="AB24" s="82">
        <v>71.343999999999994</v>
      </c>
      <c r="AC24" s="82">
        <v>71.947999999999993</v>
      </c>
      <c r="AD24" s="82">
        <v>71.727999999999994</v>
      </c>
      <c r="AE24" s="82">
        <v>71.14</v>
      </c>
      <c r="AF24" s="82">
        <v>70.478999999999999</v>
      </c>
      <c r="AG24" s="82">
        <v>70.099000000000004</v>
      </c>
      <c r="AH24" s="82">
        <v>70.025000000000006</v>
      </c>
      <c r="AI24" s="82">
        <v>70.599999999999994</v>
      </c>
      <c r="AJ24" s="82">
        <v>70.741</v>
      </c>
      <c r="AK24" s="82">
        <v>71.721000000000004</v>
      </c>
      <c r="AL24" s="82">
        <v>71.581000000000003</v>
      </c>
      <c r="AM24" s="82">
        <v>71.418000000000006</v>
      </c>
      <c r="AN24" s="82">
        <v>71.432000000000002</v>
      </c>
      <c r="AO24" s="82">
        <v>71.055000000000007</v>
      </c>
      <c r="AP24" s="82">
        <v>71.120999999999995</v>
      </c>
      <c r="AQ24" s="82">
        <v>71.186999999999998</v>
      </c>
      <c r="AR24" s="83">
        <v>70.108999999999995</v>
      </c>
      <c r="AS24" s="83">
        <v>69.7</v>
      </c>
      <c r="AT24" s="83">
        <v>70.034999999999997</v>
      </c>
      <c r="AU24" s="82">
        <v>69.950999999999993</v>
      </c>
      <c r="AV24" s="82">
        <v>71.16</v>
      </c>
      <c r="AW24" s="82">
        <v>70.953999999999994</v>
      </c>
      <c r="AX24" s="84">
        <v>74.11</v>
      </c>
      <c r="AY24" s="84">
        <v>74.376000000000005</v>
      </c>
      <c r="AZ24" s="84">
        <v>73.757000000000005</v>
      </c>
      <c r="BA24" s="85">
        <v>73.418999999999997</v>
      </c>
      <c r="BB24" s="85">
        <v>73.242000000000004</v>
      </c>
      <c r="BC24" s="85">
        <v>72.712000000000003</v>
      </c>
      <c r="BD24" s="84">
        <v>72.108999999999995</v>
      </c>
      <c r="BE24" s="84">
        <v>72.185000000000002</v>
      </c>
      <c r="BF24" s="84">
        <v>72.322000000000003</v>
      </c>
      <c r="BG24" s="84">
        <v>72.912000000000006</v>
      </c>
      <c r="BH24" s="84">
        <v>73.158000000000001</v>
      </c>
      <c r="BI24" s="84">
        <v>73.771000000000001</v>
      </c>
      <c r="BJ24" s="83">
        <v>75.37</v>
      </c>
      <c r="BK24" s="83">
        <v>75.376000000000005</v>
      </c>
      <c r="BL24" s="83">
        <v>75.087000000000003</v>
      </c>
      <c r="BM24" s="84">
        <v>74.183000000000007</v>
      </c>
      <c r="BN24" s="84">
        <v>73.861000000000004</v>
      </c>
      <c r="BO24" s="84">
        <v>73.459000000000003</v>
      </c>
      <c r="BP24" s="84">
        <v>71.596999999999994</v>
      </c>
      <c r="BQ24" s="84">
        <v>72.091999999999999</v>
      </c>
      <c r="BR24" s="84">
        <v>71.64</v>
      </c>
      <c r="BS24" s="86">
        <f>71290/1000</f>
        <v>71.290000000000006</v>
      </c>
      <c r="BT24" s="83">
        <v>71.539000000000001</v>
      </c>
      <c r="BU24" s="87">
        <v>71.338999999999999</v>
      </c>
      <c r="BV24" s="87">
        <v>74.194999999999993</v>
      </c>
      <c r="BW24" s="87">
        <v>74.241</v>
      </c>
      <c r="BX24" s="87">
        <v>74.231999999999999</v>
      </c>
      <c r="BY24" s="87">
        <v>74.256</v>
      </c>
      <c r="BZ24" s="87">
        <v>74.459999999999994</v>
      </c>
      <c r="CA24" s="87">
        <v>73.61</v>
      </c>
      <c r="CB24" s="87">
        <v>73.248000000000005</v>
      </c>
      <c r="CC24" s="87">
        <v>72.126999999999995</v>
      </c>
      <c r="CD24" s="87">
        <v>71.873000000000005</v>
      </c>
      <c r="CE24" s="87">
        <v>71.638999999999996</v>
      </c>
      <c r="CF24" s="87">
        <v>72.049000000000007</v>
      </c>
      <c r="CG24" s="87">
        <v>72.480999999999995</v>
      </c>
      <c r="CH24" s="87">
        <v>81</v>
      </c>
      <c r="CI24" s="87">
        <v>82.733000000000004</v>
      </c>
      <c r="CJ24" s="87">
        <v>82.680999999999997</v>
      </c>
      <c r="CK24" s="87">
        <v>83.394999999999996</v>
      </c>
      <c r="CL24" s="87">
        <v>83.677999999999997</v>
      </c>
      <c r="CM24" s="87">
        <v>83.394999999999996</v>
      </c>
      <c r="CN24" s="87">
        <v>82.328000000000003</v>
      </c>
      <c r="CO24" s="87">
        <v>82.334999999999994</v>
      </c>
      <c r="CP24" s="87">
        <v>81.718999999999994</v>
      </c>
      <c r="CQ24" s="87">
        <v>81.847999999999999</v>
      </c>
      <c r="CR24" s="87">
        <v>82.001000000000005</v>
      </c>
      <c r="CS24" s="87">
        <v>82.825999999999993</v>
      </c>
      <c r="CT24" s="87">
        <v>82.563000000000002</v>
      </c>
      <c r="CU24" s="87">
        <v>81.665000000000006</v>
      </c>
      <c r="CV24" s="87">
        <v>80.730999999999995</v>
      </c>
      <c r="CW24" s="87">
        <v>80.022000000000006</v>
      </c>
      <c r="CX24" s="87">
        <v>79.825000000000003</v>
      </c>
      <c r="CY24" s="87">
        <v>79.231999999999999</v>
      </c>
      <c r="CZ24" s="87">
        <v>78.61</v>
      </c>
      <c r="DA24" s="87">
        <v>77.468000000000004</v>
      </c>
      <c r="DB24" s="87">
        <v>76.950999999999993</v>
      </c>
      <c r="DC24" s="87">
        <v>76.06</v>
      </c>
      <c r="DD24" s="87">
        <v>75.864999999999995</v>
      </c>
      <c r="DE24" s="87">
        <v>76.33</v>
      </c>
      <c r="DF24" s="87">
        <v>80.137</v>
      </c>
      <c r="DG24" s="87">
        <v>79.787000000000006</v>
      </c>
      <c r="DH24" s="87">
        <v>79.763000000000005</v>
      </c>
      <c r="DI24" s="87">
        <v>79.762</v>
      </c>
      <c r="DJ24" s="87">
        <v>78.972999999999999</v>
      </c>
      <c r="DK24" s="87">
        <v>78.707999999999998</v>
      </c>
      <c r="DL24" s="87">
        <v>78.117000000000004</v>
      </c>
      <c r="DM24" s="87">
        <v>77.634</v>
      </c>
      <c r="DN24" s="87">
        <v>77.831000000000003</v>
      </c>
      <c r="DO24" s="82">
        <v>78.813999999999993</v>
      </c>
      <c r="DP24" s="82">
        <v>78.111999999999995</v>
      </c>
      <c r="DQ24" s="82">
        <v>78.302000000000007</v>
      </c>
      <c r="DR24" s="82">
        <v>83.122</v>
      </c>
      <c r="DS24" s="82">
        <v>83.322000000000003</v>
      </c>
      <c r="DT24" s="82">
        <v>83.188999999999993</v>
      </c>
      <c r="DU24" s="82">
        <v>83.331999999999994</v>
      </c>
      <c r="DV24" s="82">
        <v>83.954999999999998</v>
      </c>
      <c r="DW24" s="82">
        <v>83.994</v>
      </c>
      <c r="DX24" s="82">
        <v>83.114000000000004</v>
      </c>
      <c r="DY24" s="82">
        <v>83.081000000000003</v>
      </c>
      <c r="DZ24" s="82">
        <v>83.039000000000001</v>
      </c>
      <c r="EA24" s="144">
        <v>82.582999999999998</v>
      </c>
    </row>
    <row r="25" spans="1:131" s="8" customFormat="1" ht="16" customHeight="1" x14ac:dyDescent="0.25">
      <c r="A25" s="51" t="s">
        <v>40</v>
      </c>
      <c r="B25" s="88">
        <v>32.177599999999998</v>
      </c>
      <c r="C25" s="88">
        <v>32.188800000000001</v>
      </c>
      <c r="D25" s="88">
        <v>31.948500000000003</v>
      </c>
      <c r="E25" s="88">
        <v>31.802770000000002</v>
      </c>
      <c r="F25" s="88">
        <v>31.707199999999997</v>
      </c>
      <c r="G25" s="88">
        <v>31.561859999999999</v>
      </c>
      <c r="H25" s="88">
        <v>31.431999999999999</v>
      </c>
      <c r="I25" s="88">
        <v>31.402000000000001</v>
      </c>
      <c r="J25" s="88">
        <v>31.375</v>
      </c>
      <c r="K25" s="88">
        <v>31.756</v>
      </c>
      <c r="L25" s="88">
        <v>30.975000000000001</v>
      </c>
      <c r="M25" s="88">
        <v>30.818999999999999</v>
      </c>
      <c r="N25" s="88">
        <v>30.734999999999999</v>
      </c>
      <c r="O25" s="88">
        <v>30.222000000000001</v>
      </c>
      <c r="P25" s="88">
        <v>30.071000000000002</v>
      </c>
      <c r="Q25" s="88">
        <v>29.643000000000001</v>
      </c>
      <c r="R25" s="88">
        <v>29.681999999999999</v>
      </c>
      <c r="S25" s="88">
        <v>29.585999999999999</v>
      </c>
      <c r="T25" s="88">
        <v>29.122</v>
      </c>
      <c r="U25" s="88">
        <v>29.184000000000001</v>
      </c>
      <c r="V25" s="88">
        <v>28.923999999999999</v>
      </c>
      <c r="W25" s="88">
        <v>28.959</v>
      </c>
      <c r="X25" s="88">
        <v>28.843</v>
      </c>
      <c r="Y25" s="88">
        <v>28.535</v>
      </c>
      <c r="Z25" s="88">
        <v>28.285</v>
      </c>
      <c r="AA25" s="88">
        <v>28.11</v>
      </c>
      <c r="AB25" s="88">
        <v>27.885000000000002</v>
      </c>
      <c r="AC25" s="88">
        <v>27.420999999999999</v>
      </c>
      <c r="AD25" s="88">
        <v>27.728000000000002</v>
      </c>
      <c r="AE25" s="88">
        <v>27.509</v>
      </c>
      <c r="AF25" s="88">
        <v>27.295000000000002</v>
      </c>
      <c r="AG25" s="88">
        <v>27.356000000000002</v>
      </c>
      <c r="AH25" s="88">
        <v>27.151</v>
      </c>
      <c r="AI25" s="88">
        <v>27.378</v>
      </c>
      <c r="AJ25" s="88">
        <v>27.181000000000001</v>
      </c>
      <c r="AK25" s="88">
        <v>27.262</v>
      </c>
      <c r="AL25" s="88">
        <v>27.242999999999999</v>
      </c>
      <c r="AM25" s="88">
        <v>27.081</v>
      </c>
      <c r="AN25" s="88">
        <v>27.178999999999998</v>
      </c>
      <c r="AO25" s="88">
        <v>26.672999999999998</v>
      </c>
      <c r="AP25" s="88">
        <v>26.51</v>
      </c>
      <c r="AQ25" s="88">
        <v>26.635999999999999</v>
      </c>
      <c r="AR25" s="89">
        <v>26.5</v>
      </c>
      <c r="AS25" s="89">
        <v>26.536999999999999</v>
      </c>
      <c r="AT25" s="89">
        <v>26.51</v>
      </c>
      <c r="AU25" s="88">
        <v>26.355</v>
      </c>
      <c r="AV25" s="88">
        <v>26.181000000000001</v>
      </c>
      <c r="AW25" s="88">
        <v>26.440999999999999</v>
      </c>
      <c r="AX25" s="90">
        <v>27.646000000000001</v>
      </c>
      <c r="AY25" s="90">
        <v>27.488</v>
      </c>
      <c r="AZ25" s="90">
        <v>27.061</v>
      </c>
      <c r="BA25" s="91">
        <v>26.841999999999999</v>
      </c>
      <c r="BB25" s="91">
        <v>26.83</v>
      </c>
      <c r="BC25" s="91">
        <v>26.550999999999998</v>
      </c>
      <c r="BD25" s="90">
        <v>26.363</v>
      </c>
      <c r="BE25" s="90">
        <v>26.516999999999999</v>
      </c>
      <c r="BF25" s="90">
        <v>26.420999999999999</v>
      </c>
      <c r="BG25" s="90">
        <v>26.248000000000001</v>
      </c>
      <c r="BH25" s="90">
        <v>25.923999999999999</v>
      </c>
      <c r="BI25" s="90">
        <v>25.716000000000001</v>
      </c>
      <c r="BJ25" s="89">
        <v>26.295999999999999</v>
      </c>
      <c r="BK25" s="89">
        <v>26.321999999999999</v>
      </c>
      <c r="BL25" s="89">
        <v>26.265000000000001</v>
      </c>
      <c r="BM25" s="90">
        <v>26.062000000000001</v>
      </c>
      <c r="BN25" s="90">
        <v>26.006</v>
      </c>
      <c r="BO25" s="90">
        <v>26.024000000000001</v>
      </c>
      <c r="BP25" s="90">
        <v>25.707999999999998</v>
      </c>
      <c r="BQ25" s="90">
        <v>25.774999999999999</v>
      </c>
      <c r="BR25" s="90">
        <v>25.591000000000001</v>
      </c>
      <c r="BS25" s="92">
        <f>25625/1000</f>
        <v>25.625</v>
      </c>
      <c r="BT25" s="89">
        <v>25.417999999999999</v>
      </c>
      <c r="BU25" s="93">
        <v>25.606000000000002</v>
      </c>
      <c r="BV25" s="93">
        <v>26.675999999999998</v>
      </c>
      <c r="BW25" s="93">
        <v>26.395</v>
      </c>
      <c r="BX25" s="93">
        <v>26.324000000000002</v>
      </c>
      <c r="BY25" s="93">
        <v>26.138999999999999</v>
      </c>
      <c r="BZ25" s="93">
        <v>26.021999999999998</v>
      </c>
      <c r="CA25" s="93">
        <v>26.178000000000001</v>
      </c>
      <c r="CB25" s="93">
        <v>25.991</v>
      </c>
      <c r="CC25" s="93">
        <v>25.899000000000001</v>
      </c>
      <c r="CD25" s="93">
        <v>25.88</v>
      </c>
      <c r="CE25" s="93">
        <v>25.890999999999998</v>
      </c>
      <c r="CF25" s="93">
        <v>25.940999999999999</v>
      </c>
      <c r="CG25" s="93">
        <v>26.035</v>
      </c>
      <c r="CH25" s="93">
        <v>28.123000000000001</v>
      </c>
      <c r="CI25" s="93">
        <v>28.24</v>
      </c>
      <c r="CJ25" s="93">
        <v>27.971</v>
      </c>
      <c r="CK25" s="93">
        <v>28.106999999999999</v>
      </c>
      <c r="CL25" s="93">
        <v>28.105</v>
      </c>
      <c r="CM25" s="93">
        <v>27.948</v>
      </c>
      <c r="CN25" s="93">
        <v>27.66</v>
      </c>
      <c r="CO25" s="93">
        <v>27.741</v>
      </c>
      <c r="CP25" s="93">
        <v>27.56</v>
      </c>
      <c r="CQ25" s="93">
        <v>27.631</v>
      </c>
      <c r="CR25" s="93">
        <v>27.59</v>
      </c>
      <c r="CS25" s="93">
        <v>27.634</v>
      </c>
      <c r="CT25" s="93">
        <v>27.518999999999998</v>
      </c>
      <c r="CU25" s="93">
        <v>27.373000000000001</v>
      </c>
      <c r="CV25" s="93">
        <v>27.163</v>
      </c>
      <c r="CW25" s="93">
        <v>26.452000000000002</v>
      </c>
      <c r="CX25" s="93">
        <v>26.306000000000001</v>
      </c>
      <c r="CY25" s="93">
        <v>26.094000000000001</v>
      </c>
      <c r="CZ25" s="93">
        <v>25.866</v>
      </c>
      <c r="DA25" s="93">
        <v>25.591999999999999</v>
      </c>
      <c r="DB25" s="93">
        <v>25.466999999999999</v>
      </c>
      <c r="DC25" s="93">
        <v>25.253</v>
      </c>
      <c r="DD25" s="93">
        <v>25.053000000000001</v>
      </c>
      <c r="DE25" s="93">
        <v>25.260999999999999</v>
      </c>
      <c r="DF25" s="93">
        <v>26.151</v>
      </c>
      <c r="DG25" s="93">
        <v>26.190999999999999</v>
      </c>
      <c r="DH25" s="93">
        <v>26.077000000000002</v>
      </c>
      <c r="DI25" s="93">
        <v>25.806999999999999</v>
      </c>
      <c r="DJ25" s="93">
        <v>25.887</v>
      </c>
      <c r="DK25" s="93">
        <v>25.596</v>
      </c>
      <c r="DL25" s="93">
        <v>25.532</v>
      </c>
      <c r="DM25" s="93">
        <v>25.623000000000001</v>
      </c>
      <c r="DN25" s="93">
        <v>25.472000000000001</v>
      </c>
      <c r="DO25" s="88">
        <v>25.289000000000001</v>
      </c>
      <c r="DP25" s="88">
        <v>25.23</v>
      </c>
      <c r="DQ25" s="88">
        <v>26.690999999999999</v>
      </c>
      <c r="DR25" s="88">
        <v>26.852</v>
      </c>
      <c r="DS25" s="88">
        <v>27.13</v>
      </c>
      <c r="DT25" s="88">
        <v>26.712</v>
      </c>
      <c r="DU25" s="135">
        <v>26.640999999999998</v>
      </c>
      <c r="DV25" s="135">
        <v>26.768999999999998</v>
      </c>
      <c r="DW25" s="135">
        <v>26.516999999999999</v>
      </c>
      <c r="DX25" s="135">
        <v>26.661999999999999</v>
      </c>
      <c r="DY25" s="135">
        <v>26.285</v>
      </c>
      <c r="DZ25" s="135">
        <v>26.231000000000002</v>
      </c>
      <c r="EA25" s="145">
        <v>26.231000000000002</v>
      </c>
    </row>
    <row r="26" spans="1:131" s="8" customFormat="1" ht="16" customHeight="1" x14ac:dyDescent="0.25">
      <c r="A26" s="66" t="s">
        <v>19</v>
      </c>
      <c r="B26" s="82">
        <v>232.97120000000001</v>
      </c>
      <c r="C26" s="82">
        <v>231.82929000000001</v>
      </c>
      <c r="D26" s="82">
        <v>231.8304</v>
      </c>
      <c r="E26" s="82">
        <v>232.72320000000002</v>
      </c>
      <c r="F26" s="82">
        <v>232.65026999999998</v>
      </c>
      <c r="G26" s="82">
        <v>229.36368000000002</v>
      </c>
      <c r="H26" s="82">
        <v>229.46600000000001</v>
      </c>
      <c r="I26" s="82">
        <v>229.136</v>
      </c>
      <c r="J26" s="82">
        <v>229.72300000000001</v>
      </c>
      <c r="K26" s="82">
        <v>230.53899999999999</v>
      </c>
      <c r="L26" s="82">
        <v>230.59399999999999</v>
      </c>
      <c r="M26" s="82">
        <v>229.83699999999999</v>
      </c>
      <c r="N26" s="82">
        <v>229.71799999999999</v>
      </c>
      <c r="O26" s="82">
        <v>228.65899999999999</v>
      </c>
      <c r="P26" s="82">
        <v>227.80699999999999</v>
      </c>
      <c r="Q26" s="82">
        <v>227.71600000000001</v>
      </c>
      <c r="R26" s="82">
        <v>228.10300000000001</v>
      </c>
      <c r="S26" s="82">
        <v>226.63800000000001</v>
      </c>
      <c r="T26" s="82">
        <v>225.98400000000001</v>
      </c>
      <c r="U26" s="82">
        <v>224.95599999999999</v>
      </c>
      <c r="V26" s="82">
        <v>223.398</v>
      </c>
      <c r="W26" s="82">
        <v>222.97200000000001</v>
      </c>
      <c r="X26" s="82">
        <v>224.00800000000001</v>
      </c>
      <c r="Y26" s="82">
        <v>224.04599999999999</v>
      </c>
      <c r="Z26" s="82">
        <v>221.35400000000001</v>
      </c>
      <c r="AA26" s="82">
        <v>222.21</v>
      </c>
      <c r="AB26" s="82">
        <v>221.542</v>
      </c>
      <c r="AC26" s="82">
        <v>221.958</v>
      </c>
      <c r="AD26" s="82">
        <v>222.39699999999999</v>
      </c>
      <c r="AE26" s="82">
        <v>222.68299999999999</v>
      </c>
      <c r="AF26" s="82">
        <v>222.61</v>
      </c>
      <c r="AG26" s="82">
        <v>220.96700000000001</v>
      </c>
      <c r="AH26" s="82">
        <v>219.34299999999999</v>
      </c>
      <c r="AI26" s="82">
        <v>219.01400000000001</v>
      </c>
      <c r="AJ26" s="82">
        <v>219.72499999999999</v>
      </c>
      <c r="AK26" s="82">
        <v>218.672</v>
      </c>
      <c r="AL26" s="82">
        <v>218.328</v>
      </c>
      <c r="AM26" s="82">
        <v>217.636</v>
      </c>
      <c r="AN26" s="82">
        <v>216.30199999999999</v>
      </c>
      <c r="AO26" s="82">
        <v>216.10599999999999</v>
      </c>
      <c r="AP26" s="82">
        <v>217.25800000000001</v>
      </c>
      <c r="AQ26" s="82">
        <v>215.71700000000001</v>
      </c>
      <c r="AR26" s="83">
        <v>213.785</v>
      </c>
      <c r="AS26" s="83">
        <v>212.60499999999999</v>
      </c>
      <c r="AT26" s="83">
        <v>211.19900000000001</v>
      </c>
      <c r="AU26" s="82">
        <v>210.98699999999999</v>
      </c>
      <c r="AV26" s="82">
        <v>212.83099999999999</v>
      </c>
      <c r="AW26" s="82">
        <v>213.72499999999999</v>
      </c>
      <c r="AX26" s="84">
        <v>222.72200000000001</v>
      </c>
      <c r="AY26" s="84">
        <v>222.73099999999999</v>
      </c>
      <c r="AZ26" s="84">
        <v>222.559</v>
      </c>
      <c r="BA26" s="85">
        <v>223.798</v>
      </c>
      <c r="BB26" s="85">
        <v>224.6</v>
      </c>
      <c r="BC26" s="85">
        <v>223.38900000000001</v>
      </c>
      <c r="BD26" s="84">
        <v>221.96100000000001</v>
      </c>
      <c r="BE26" s="84">
        <v>221.81800000000001</v>
      </c>
      <c r="BF26" s="84">
        <v>220.74199999999999</v>
      </c>
      <c r="BG26" s="84">
        <v>220.18299999999999</v>
      </c>
      <c r="BH26" s="84">
        <v>220.17599999999999</v>
      </c>
      <c r="BI26" s="84">
        <v>216.96100000000001</v>
      </c>
      <c r="BJ26" s="83">
        <v>220.268</v>
      </c>
      <c r="BK26" s="83">
        <v>222.24</v>
      </c>
      <c r="BL26" s="83">
        <v>223.69399999999999</v>
      </c>
      <c r="BM26" s="84">
        <v>224.65299999999999</v>
      </c>
      <c r="BN26" s="84">
        <v>225.452</v>
      </c>
      <c r="BO26" s="84">
        <v>224.506</v>
      </c>
      <c r="BP26" s="84">
        <v>217.976</v>
      </c>
      <c r="BQ26" s="84">
        <v>221.06200000000001</v>
      </c>
      <c r="BR26" s="84">
        <v>217.465</v>
      </c>
      <c r="BS26" s="86">
        <f>217606/1000</f>
        <v>217.60599999999999</v>
      </c>
      <c r="BT26" s="83">
        <v>217.29499999999999</v>
      </c>
      <c r="BU26" s="87">
        <v>217.06399999999999</v>
      </c>
      <c r="BV26" s="87">
        <v>223.64</v>
      </c>
      <c r="BW26" s="87">
        <v>224.37299999999999</v>
      </c>
      <c r="BX26" s="87">
        <v>226.226</v>
      </c>
      <c r="BY26" s="87">
        <v>227.29900000000001</v>
      </c>
      <c r="BZ26" s="87">
        <v>229.20500000000001</v>
      </c>
      <c r="CA26" s="87">
        <v>228.03100000000001</v>
      </c>
      <c r="CB26" s="87">
        <v>227.459</v>
      </c>
      <c r="CC26" s="87">
        <v>226.76599999999999</v>
      </c>
      <c r="CD26" s="87">
        <v>227.63200000000001</v>
      </c>
      <c r="CE26" s="87">
        <v>228.08500000000001</v>
      </c>
      <c r="CF26" s="87">
        <v>227.71600000000001</v>
      </c>
      <c r="CG26" s="87">
        <v>230.33</v>
      </c>
      <c r="CH26" s="87">
        <v>256.12900000000002</v>
      </c>
      <c r="CI26" s="87">
        <v>256.13400000000001</v>
      </c>
      <c r="CJ26" s="87">
        <v>253.1</v>
      </c>
      <c r="CK26" s="87">
        <v>253.68</v>
      </c>
      <c r="CL26" s="87">
        <v>253.47399999999999</v>
      </c>
      <c r="CM26" s="87">
        <v>256.596</v>
      </c>
      <c r="CN26" s="87">
        <v>250.78399999999999</v>
      </c>
      <c r="CO26" s="87">
        <v>251.18199999999999</v>
      </c>
      <c r="CP26" s="87">
        <v>251.57599999999999</v>
      </c>
      <c r="CQ26" s="87">
        <v>251.06700000000001</v>
      </c>
      <c r="CR26" s="87">
        <v>264.74099999999999</v>
      </c>
      <c r="CS26" s="87">
        <v>267.84500000000003</v>
      </c>
      <c r="CT26" s="87">
        <v>248.63399999999999</v>
      </c>
      <c r="CU26" s="87">
        <v>257.80799999999999</v>
      </c>
      <c r="CV26" s="87">
        <v>246.17099999999999</v>
      </c>
      <c r="CW26" s="87">
        <v>251.21299999999999</v>
      </c>
      <c r="CX26" s="87">
        <v>242.52600000000001</v>
      </c>
      <c r="CY26" s="87">
        <v>241.47800000000001</v>
      </c>
      <c r="CZ26" s="87">
        <v>240.09800000000001</v>
      </c>
      <c r="DA26" s="87">
        <v>240.047</v>
      </c>
      <c r="DB26" s="87">
        <v>240.15899999999999</v>
      </c>
      <c r="DC26" s="87">
        <v>239.09</v>
      </c>
      <c r="DD26" s="87">
        <v>237.47399999999999</v>
      </c>
      <c r="DE26" s="87">
        <v>242.553</v>
      </c>
      <c r="DF26" s="87">
        <v>247.29900000000001</v>
      </c>
      <c r="DG26" s="87">
        <v>252.17</v>
      </c>
      <c r="DH26" s="87">
        <v>251.69300000000001</v>
      </c>
      <c r="DI26" s="87">
        <v>253.221</v>
      </c>
      <c r="DJ26" s="87">
        <v>254.86199999999999</v>
      </c>
      <c r="DK26" s="87">
        <v>254.47399999999999</v>
      </c>
      <c r="DL26" s="87">
        <v>250.239</v>
      </c>
      <c r="DM26" s="87">
        <v>250.904</v>
      </c>
      <c r="DN26" s="87">
        <v>249.69499999999999</v>
      </c>
      <c r="DO26" s="82">
        <v>255.71199999999999</v>
      </c>
      <c r="DP26" s="82">
        <v>255.15100000000001</v>
      </c>
      <c r="DQ26" s="82">
        <v>267.55700000000002</v>
      </c>
      <c r="DR26" s="82">
        <v>268.642</v>
      </c>
      <c r="DS26" s="82">
        <v>276.42599999999999</v>
      </c>
      <c r="DT26" s="82">
        <v>273.721</v>
      </c>
      <c r="DU26" s="82">
        <v>274.13400000000001</v>
      </c>
      <c r="DV26" s="82">
        <v>275.72500000000002</v>
      </c>
      <c r="DW26" s="82">
        <v>274.68799999999999</v>
      </c>
      <c r="DX26" s="82">
        <v>275.74700000000001</v>
      </c>
      <c r="DY26" s="82">
        <v>274.62200000000001</v>
      </c>
      <c r="DZ26" s="82">
        <v>275.12799999999999</v>
      </c>
      <c r="EA26" s="144">
        <v>275.67700000000002</v>
      </c>
    </row>
    <row r="27" spans="1:131" s="8" customFormat="1" ht="16" customHeight="1" x14ac:dyDescent="0.25">
      <c r="A27" s="51" t="s">
        <v>20</v>
      </c>
      <c r="B27" s="88">
        <v>506.10413999999997</v>
      </c>
      <c r="C27" s="88">
        <v>507.97715999999997</v>
      </c>
      <c r="D27" s="88">
        <v>509.44090999999997</v>
      </c>
      <c r="E27" s="88">
        <v>503.25337999999994</v>
      </c>
      <c r="F27" s="88">
        <v>503.93080000000003</v>
      </c>
      <c r="G27" s="88">
        <v>501.12072000000001</v>
      </c>
      <c r="H27" s="88">
        <v>503.63600000000002</v>
      </c>
      <c r="I27" s="88">
        <v>499.50099999999998</v>
      </c>
      <c r="J27" s="88">
        <v>494.185</v>
      </c>
      <c r="K27" s="88">
        <v>492.11200000000002</v>
      </c>
      <c r="L27" s="88">
        <v>494.99599999999998</v>
      </c>
      <c r="M27" s="88">
        <v>491.77600000000001</v>
      </c>
      <c r="N27" s="88">
        <v>490.52199999999999</v>
      </c>
      <c r="O27" s="88">
        <v>485.858</v>
      </c>
      <c r="P27" s="88">
        <v>485.09199999999998</v>
      </c>
      <c r="Q27" s="88">
        <v>486.654</v>
      </c>
      <c r="R27" s="88">
        <v>486.48200000000003</v>
      </c>
      <c r="S27" s="88">
        <v>484.63</v>
      </c>
      <c r="T27" s="88">
        <v>483.62900000000002</v>
      </c>
      <c r="U27" s="88">
        <v>479.596</v>
      </c>
      <c r="V27" s="88">
        <v>477.69600000000003</v>
      </c>
      <c r="W27" s="88">
        <v>474.233</v>
      </c>
      <c r="X27" s="88">
        <v>472.21300000000002</v>
      </c>
      <c r="Y27" s="88">
        <v>471.31700000000001</v>
      </c>
      <c r="Z27" s="88">
        <v>467.149</v>
      </c>
      <c r="AA27" s="88">
        <v>462.47</v>
      </c>
      <c r="AB27" s="88">
        <v>455.26900000000001</v>
      </c>
      <c r="AC27" s="88">
        <v>458.81299999999999</v>
      </c>
      <c r="AD27" s="88">
        <v>458.84100000000001</v>
      </c>
      <c r="AE27" s="88">
        <v>457.2</v>
      </c>
      <c r="AF27" s="88">
        <v>454.5</v>
      </c>
      <c r="AG27" s="88">
        <v>452.048</v>
      </c>
      <c r="AH27" s="88">
        <v>450.74200000000002</v>
      </c>
      <c r="AI27" s="88">
        <v>449.16800000000001</v>
      </c>
      <c r="AJ27" s="88">
        <v>448.26600000000002</v>
      </c>
      <c r="AK27" s="88">
        <v>447.96499999999997</v>
      </c>
      <c r="AL27" s="88">
        <v>447.55</v>
      </c>
      <c r="AM27" s="88">
        <v>444.52800000000002</v>
      </c>
      <c r="AN27" s="88">
        <v>442.4</v>
      </c>
      <c r="AO27" s="88">
        <v>440.93700000000001</v>
      </c>
      <c r="AP27" s="88">
        <v>441.88600000000002</v>
      </c>
      <c r="AQ27" s="88">
        <v>439.07499999999999</v>
      </c>
      <c r="AR27" s="89">
        <v>437.07799999999997</v>
      </c>
      <c r="AS27" s="89">
        <v>434.50700000000001</v>
      </c>
      <c r="AT27" s="89">
        <v>432.904</v>
      </c>
      <c r="AU27" s="88">
        <v>430.065</v>
      </c>
      <c r="AV27" s="88">
        <v>431.19400000000002</v>
      </c>
      <c r="AW27" s="88">
        <v>431.68900000000002</v>
      </c>
      <c r="AX27" s="90">
        <v>438.08499999999998</v>
      </c>
      <c r="AY27" s="90">
        <v>438.03300000000002</v>
      </c>
      <c r="AZ27" s="90">
        <v>438.81700000000001</v>
      </c>
      <c r="BA27" s="91">
        <v>440.137</v>
      </c>
      <c r="BB27" s="91">
        <v>441.61900000000003</v>
      </c>
      <c r="BC27" s="91">
        <v>439.15</v>
      </c>
      <c r="BD27" s="90">
        <v>436.62799999999999</v>
      </c>
      <c r="BE27" s="90">
        <v>435.596</v>
      </c>
      <c r="BF27" s="90">
        <v>432.51</v>
      </c>
      <c r="BG27" s="90">
        <v>431.73200000000003</v>
      </c>
      <c r="BH27" s="90">
        <v>431.55399999999997</v>
      </c>
      <c r="BI27" s="90">
        <v>433.8</v>
      </c>
      <c r="BJ27" s="89">
        <v>442.38099999999997</v>
      </c>
      <c r="BK27" s="89">
        <v>439.35199999999998</v>
      </c>
      <c r="BL27" s="89">
        <v>441.83600000000001</v>
      </c>
      <c r="BM27" s="90">
        <v>442.25700000000001</v>
      </c>
      <c r="BN27" s="90">
        <v>446.06599999999997</v>
      </c>
      <c r="BO27" s="90">
        <v>442.53199999999998</v>
      </c>
      <c r="BP27" s="90">
        <v>433.03</v>
      </c>
      <c r="BQ27" s="90">
        <v>441.04700000000003</v>
      </c>
      <c r="BR27" s="90">
        <v>435.88099999999997</v>
      </c>
      <c r="BS27" s="92">
        <f>438004/1000</f>
        <v>438.00400000000002</v>
      </c>
      <c r="BT27" s="89">
        <v>435.56400000000002</v>
      </c>
      <c r="BU27" s="93">
        <v>437.68799999999999</v>
      </c>
      <c r="BV27" s="93">
        <v>448.59899999999999</v>
      </c>
      <c r="BW27" s="93">
        <v>446.03800000000001</v>
      </c>
      <c r="BX27" s="93">
        <v>444.13299999999998</v>
      </c>
      <c r="BY27" s="93">
        <v>446.37299999999999</v>
      </c>
      <c r="BZ27" s="93">
        <v>446.46300000000002</v>
      </c>
      <c r="CA27" s="93">
        <v>447.01600000000002</v>
      </c>
      <c r="CB27" s="93">
        <v>445.63200000000001</v>
      </c>
      <c r="CC27" s="93">
        <v>442.565</v>
      </c>
      <c r="CD27" s="93">
        <v>444.45699999999999</v>
      </c>
      <c r="CE27" s="93">
        <v>442.267</v>
      </c>
      <c r="CF27" s="93">
        <v>440.18599999999998</v>
      </c>
      <c r="CG27" s="93">
        <v>443.07299999999998</v>
      </c>
      <c r="CH27" s="93">
        <v>485.84399999999999</v>
      </c>
      <c r="CI27" s="93">
        <v>494.05500000000001</v>
      </c>
      <c r="CJ27" s="93">
        <v>496.44299999999998</v>
      </c>
      <c r="CK27" s="93">
        <v>500.202</v>
      </c>
      <c r="CL27" s="93">
        <v>503.77100000000002</v>
      </c>
      <c r="CM27" s="93">
        <v>500.923</v>
      </c>
      <c r="CN27" s="93">
        <v>498.14</v>
      </c>
      <c r="CO27" s="93">
        <v>495.65499999999997</v>
      </c>
      <c r="CP27" s="93">
        <v>493.85500000000002</v>
      </c>
      <c r="CQ27" s="93">
        <v>489.899</v>
      </c>
      <c r="CR27" s="93">
        <v>488.05900000000003</v>
      </c>
      <c r="CS27" s="93">
        <v>491.87299999999999</v>
      </c>
      <c r="CT27" s="93">
        <v>490.59100000000001</v>
      </c>
      <c r="CU27" s="93">
        <v>487.91800000000001</v>
      </c>
      <c r="CV27" s="93">
        <v>485.12799999999999</v>
      </c>
      <c r="CW27" s="93">
        <v>480.71699999999998</v>
      </c>
      <c r="CX27" s="93">
        <v>479.10300000000001</v>
      </c>
      <c r="CY27" s="93">
        <v>475.53800000000001</v>
      </c>
      <c r="CZ27" s="93">
        <v>472.71600000000001</v>
      </c>
      <c r="DA27" s="93">
        <v>469.41199999999998</v>
      </c>
      <c r="DB27" s="93">
        <v>465.38600000000002</v>
      </c>
      <c r="DC27" s="93">
        <v>461.50799999999998</v>
      </c>
      <c r="DD27" s="93">
        <v>455.274</v>
      </c>
      <c r="DE27" s="93">
        <v>459.04399999999998</v>
      </c>
      <c r="DF27" s="93">
        <v>480.31700000000001</v>
      </c>
      <c r="DG27" s="93">
        <v>479.42700000000002</v>
      </c>
      <c r="DH27" s="93">
        <v>474.61599999999999</v>
      </c>
      <c r="DI27" s="93">
        <v>474.49799999999999</v>
      </c>
      <c r="DJ27" s="93">
        <v>475.44400000000002</v>
      </c>
      <c r="DK27" s="93">
        <v>474.97699999999998</v>
      </c>
      <c r="DL27" s="93">
        <v>471.71600000000001</v>
      </c>
      <c r="DM27" s="93">
        <v>470.59500000000003</v>
      </c>
      <c r="DN27" s="93">
        <v>468.28399999999999</v>
      </c>
      <c r="DO27" s="88">
        <v>476.13</v>
      </c>
      <c r="DP27" s="88">
        <v>471.18799999999999</v>
      </c>
      <c r="DQ27" s="88">
        <v>496.24200000000002</v>
      </c>
      <c r="DR27" s="88">
        <v>496.68099999999998</v>
      </c>
      <c r="DS27" s="88">
        <v>504.68299999999999</v>
      </c>
      <c r="DT27" s="88">
        <v>503.108</v>
      </c>
      <c r="DU27" s="135">
        <v>506.29399999999998</v>
      </c>
      <c r="DV27" s="135">
        <v>505.62900000000002</v>
      </c>
      <c r="DW27" s="135">
        <v>506.553</v>
      </c>
      <c r="DX27" s="135">
        <v>504.61700000000002</v>
      </c>
      <c r="DY27" s="135">
        <v>501.971</v>
      </c>
      <c r="DZ27" s="135">
        <v>502.74799999999999</v>
      </c>
      <c r="EA27" s="145">
        <v>504.88200000000001</v>
      </c>
    </row>
    <row r="28" spans="1:131" s="8" customFormat="1" ht="16" customHeight="1" x14ac:dyDescent="0.25">
      <c r="A28" s="66" t="s">
        <v>21</v>
      </c>
      <c r="B28" s="82">
        <v>15.434599999999998</v>
      </c>
      <c r="C28" s="82">
        <v>15.594899999999999</v>
      </c>
      <c r="D28" s="82">
        <v>15.326759999999998</v>
      </c>
      <c r="E28" s="82">
        <v>14.985659999999999</v>
      </c>
      <c r="F28" s="82">
        <v>15.032980000000002</v>
      </c>
      <c r="G28" s="82">
        <v>14.807</v>
      </c>
      <c r="H28" s="82">
        <v>14.795</v>
      </c>
      <c r="I28" s="82">
        <v>15.02</v>
      </c>
      <c r="J28" s="82">
        <v>15.18</v>
      </c>
      <c r="K28" s="82">
        <v>14.992000000000001</v>
      </c>
      <c r="L28" s="82">
        <v>15.241</v>
      </c>
      <c r="M28" s="82">
        <v>15.009</v>
      </c>
      <c r="N28" s="82">
        <v>15.129</v>
      </c>
      <c r="O28" s="82">
        <v>14.9</v>
      </c>
      <c r="P28" s="82">
        <v>14.738</v>
      </c>
      <c r="Q28" s="82">
        <v>14.643000000000001</v>
      </c>
      <c r="R28" s="82">
        <v>14.927</v>
      </c>
      <c r="S28" s="82">
        <v>14.593</v>
      </c>
      <c r="T28" s="82">
        <v>14.603999999999999</v>
      </c>
      <c r="U28" s="82">
        <v>14.503</v>
      </c>
      <c r="V28" s="82">
        <v>14.484999999999999</v>
      </c>
      <c r="W28" s="82">
        <v>14.61</v>
      </c>
      <c r="X28" s="82">
        <v>14.861000000000001</v>
      </c>
      <c r="Y28" s="82">
        <v>14.862</v>
      </c>
      <c r="Z28" s="82">
        <v>14.55</v>
      </c>
      <c r="AA28" s="82">
        <v>14.993</v>
      </c>
      <c r="AB28" s="82">
        <v>13.957000000000001</v>
      </c>
      <c r="AC28" s="82">
        <v>14.115</v>
      </c>
      <c r="AD28" s="82">
        <v>14.077</v>
      </c>
      <c r="AE28" s="82">
        <v>13.898999999999999</v>
      </c>
      <c r="AF28" s="82">
        <v>14.06</v>
      </c>
      <c r="AG28" s="82">
        <v>14.023999999999999</v>
      </c>
      <c r="AH28" s="82">
        <v>14.433999999999999</v>
      </c>
      <c r="AI28" s="82">
        <v>14.37</v>
      </c>
      <c r="AJ28" s="82">
        <v>14.257999999999999</v>
      </c>
      <c r="AK28" s="82">
        <v>14.429</v>
      </c>
      <c r="AL28" s="82">
        <v>14.52</v>
      </c>
      <c r="AM28" s="82">
        <v>14.547000000000001</v>
      </c>
      <c r="AN28" s="82">
        <v>14.462</v>
      </c>
      <c r="AO28" s="82">
        <v>14.285</v>
      </c>
      <c r="AP28" s="82">
        <v>14.21</v>
      </c>
      <c r="AQ28" s="82">
        <v>14.24</v>
      </c>
      <c r="AR28" s="83">
        <v>14.074</v>
      </c>
      <c r="AS28" s="83">
        <v>14.204000000000001</v>
      </c>
      <c r="AT28" s="83">
        <v>14.295999999999999</v>
      </c>
      <c r="AU28" s="82">
        <v>14.314</v>
      </c>
      <c r="AV28" s="82">
        <v>14.307</v>
      </c>
      <c r="AW28" s="82">
        <v>14.164999999999999</v>
      </c>
      <c r="AX28" s="84">
        <v>14.622</v>
      </c>
      <c r="AY28" s="84">
        <v>14.757999999999999</v>
      </c>
      <c r="AZ28" s="84">
        <v>14.683999999999999</v>
      </c>
      <c r="BA28" s="85">
        <v>14.478</v>
      </c>
      <c r="BB28" s="85">
        <v>14.548999999999999</v>
      </c>
      <c r="BC28" s="85">
        <v>14.182</v>
      </c>
      <c r="BD28" s="84">
        <v>14.195</v>
      </c>
      <c r="BE28" s="84">
        <v>14.228</v>
      </c>
      <c r="BF28" s="84">
        <v>14.324</v>
      </c>
      <c r="BG28" s="84">
        <v>14.317</v>
      </c>
      <c r="BH28" s="84">
        <v>14.489000000000001</v>
      </c>
      <c r="BI28" s="84">
        <v>14.819000000000001</v>
      </c>
      <c r="BJ28" s="83">
        <v>14.782999999999999</v>
      </c>
      <c r="BK28" s="83">
        <v>14.868</v>
      </c>
      <c r="BL28" s="83">
        <v>14.702</v>
      </c>
      <c r="BM28" s="84">
        <v>14.541</v>
      </c>
      <c r="BN28" s="84">
        <v>14.601000000000001</v>
      </c>
      <c r="BO28" s="84">
        <v>14.586</v>
      </c>
      <c r="BP28" s="84">
        <v>13.946</v>
      </c>
      <c r="BQ28" s="84">
        <v>14.372999999999999</v>
      </c>
      <c r="BR28" s="84">
        <v>14.278</v>
      </c>
      <c r="BS28" s="86">
        <f>14626/1000</f>
        <v>14.625999999999999</v>
      </c>
      <c r="BT28" s="83">
        <v>14.863</v>
      </c>
      <c r="BU28" s="87">
        <v>15.061</v>
      </c>
      <c r="BV28" s="87">
        <v>15.569000000000001</v>
      </c>
      <c r="BW28" s="87">
        <v>15.456</v>
      </c>
      <c r="BX28" s="87">
        <v>15.340999999999999</v>
      </c>
      <c r="BY28" s="87">
        <v>15.164</v>
      </c>
      <c r="BZ28" s="87">
        <v>15.355</v>
      </c>
      <c r="CA28" s="87">
        <v>15.568</v>
      </c>
      <c r="CB28" s="87">
        <v>15.539</v>
      </c>
      <c r="CC28" s="87">
        <v>15.718999999999999</v>
      </c>
      <c r="CD28" s="87">
        <v>15.759</v>
      </c>
      <c r="CE28" s="87">
        <v>15.683</v>
      </c>
      <c r="CF28" s="87">
        <v>15.496</v>
      </c>
      <c r="CG28" s="87">
        <v>15.909000000000001</v>
      </c>
      <c r="CH28" s="87">
        <v>18.113</v>
      </c>
      <c r="CI28" s="87">
        <v>18.77</v>
      </c>
      <c r="CJ28" s="87">
        <v>18.731000000000002</v>
      </c>
      <c r="CK28" s="87">
        <v>19.135999999999999</v>
      </c>
      <c r="CL28" s="87">
        <v>19.167000000000002</v>
      </c>
      <c r="CM28" s="87">
        <v>19.242000000000001</v>
      </c>
      <c r="CN28" s="87">
        <v>19.125</v>
      </c>
      <c r="CO28" s="87">
        <v>19.009</v>
      </c>
      <c r="CP28" s="87">
        <v>19.137</v>
      </c>
      <c r="CQ28" s="87">
        <v>18.561</v>
      </c>
      <c r="CR28" s="87">
        <v>18.913</v>
      </c>
      <c r="CS28" s="87">
        <v>19.082999999999998</v>
      </c>
      <c r="CT28" s="87">
        <v>18.873000000000001</v>
      </c>
      <c r="CU28" s="87">
        <v>18.991</v>
      </c>
      <c r="CV28" s="87">
        <v>18.891999999999999</v>
      </c>
      <c r="CW28" s="87">
        <v>18.009</v>
      </c>
      <c r="CX28" s="87">
        <v>17.8</v>
      </c>
      <c r="CY28" s="87">
        <v>18.419</v>
      </c>
      <c r="CZ28" s="87">
        <v>18.085000000000001</v>
      </c>
      <c r="DA28" s="87">
        <v>18.21</v>
      </c>
      <c r="DB28" s="87">
        <v>17.395</v>
      </c>
      <c r="DC28" s="87">
        <v>16.675000000000001</v>
      </c>
      <c r="DD28" s="87">
        <v>16.489999999999998</v>
      </c>
      <c r="DE28" s="87">
        <v>17.501999999999999</v>
      </c>
      <c r="DF28" s="87">
        <v>18.507000000000001</v>
      </c>
      <c r="DG28" s="87">
        <v>18.594999999999999</v>
      </c>
      <c r="DH28" s="87">
        <v>19.501000000000001</v>
      </c>
      <c r="DI28" s="87">
        <v>18.702000000000002</v>
      </c>
      <c r="DJ28" s="87">
        <v>18.439</v>
      </c>
      <c r="DK28" s="87">
        <v>18.353999999999999</v>
      </c>
      <c r="DL28" s="87">
        <v>18.707999999999998</v>
      </c>
      <c r="DM28" s="87">
        <v>18.001000000000001</v>
      </c>
      <c r="DN28" s="87">
        <v>19.091999999999999</v>
      </c>
      <c r="DO28" s="82">
        <v>18.033999999999999</v>
      </c>
      <c r="DP28" s="82">
        <v>18.797000000000001</v>
      </c>
      <c r="DQ28" s="82">
        <v>20.521999999999998</v>
      </c>
      <c r="DR28" s="82">
        <v>20.373000000000001</v>
      </c>
      <c r="DS28" s="82">
        <v>21.69</v>
      </c>
      <c r="DT28" s="82">
        <v>20.675000000000001</v>
      </c>
      <c r="DU28" s="82">
        <v>20.318999999999999</v>
      </c>
      <c r="DV28" s="82">
        <v>20.006</v>
      </c>
      <c r="DW28" s="82">
        <v>20.378</v>
      </c>
      <c r="DX28" s="82">
        <v>20.308</v>
      </c>
      <c r="DY28" s="82">
        <v>20.036999999999999</v>
      </c>
      <c r="DZ28" s="82">
        <v>20.334</v>
      </c>
      <c r="EA28" s="144">
        <v>20.097000000000001</v>
      </c>
    </row>
    <row r="29" spans="1:131" s="8" customFormat="1" ht="16" customHeight="1" x14ac:dyDescent="0.25">
      <c r="A29" s="51" t="s">
        <v>22</v>
      </c>
      <c r="B29" s="88">
        <v>136.60138000000001</v>
      </c>
      <c r="C29" s="88">
        <v>135.83241000000001</v>
      </c>
      <c r="D29" s="88">
        <v>136.19988000000001</v>
      </c>
      <c r="E29" s="88">
        <v>136.65004000000002</v>
      </c>
      <c r="F29" s="88">
        <v>136.87988000000001</v>
      </c>
      <c r="G29" s="88">
        <v>134.52672000000001</v>
      </c>
      <c r="H29" s="88">
        <v>134.07300000000001</v>
      </c>
      <c r="I29" s="88">
        <v>133.81700000000001</v>
      </c>
      <c r="J29" s="88">
        <v>134.43700000000001</v>
      </c>
      <c r="K29" s="88">
        <v>134.785</v>
      </c>
      <c r="L29" s="88">
        <v>135.25800000000001</v>
      </c>
      <c r="M29" s="88">
        <v>134.52699999999999</v>
      </c>
      <c r="N29" s="88">
        <v>133.77000000000001</v>
      </c>
      <c r="O29" s="88">
        <v>133.447</v>
      </c>
      <c r="P29" s="88">
        <v>132.77500000000001</v>
      </c>
      <c r="Q29" s="88">
        <v>132.97</v>
      </c>
      <c r="R29" s="88">
        <v>132.05799999999999</v>
      </c>
      <c r="S29" s="88">
        <v>130.94900000000001</v>
      </c>
      <c r="T29" s="88">
        <v>129.125</v>
      </c>
      <c r="U29" s="88">
        <v>128.637</v>
      </c>
      <c r="V29" s="88">
        <v>128.42500000000001</v>
      </c>
      <c r="W29" s="88">
        <v>127.593</v>
      </c>
      <c r="X29" s="88">
        <v>127.331</v>
      </c>
      <c r="Y29" s="88">
        <v>128.626</v>
      </c>
      <c r="Z29" s="88">
        <v>125.16500000000001</v>
      </c>
      <c r="AA29" s="88">
        <v>125.623</v>
      </c>
      <c r="AB29" s="88">
        <v>124.404</v>
      </c>
      <c r="AC29" s="88">
        <v>124.146</v>
      </c>
      <c r="AD29" s="88">
        <v>125.523</v>
      </c>
      <c r="AE29" s="88">
        <v>124.65</v>
      </c>
      <c r="AF29" s="88">
        <v>123.83</v>
      </c>
      <c r="AG29" s="88">
        <v>123.178</v>
      </c>
      <c r="AH29" s="88">
        <v>123.532</v>
      </c>
      <c r="AI29" s="88">
        <v>122.33499999999999</v>
      </c>
      <c r="AJ29" s="88">
        <v>123.45399999999999</v>
      </c>
      <c r="AK29" s="88">
        <v>124.90300000000001</v>
      </c>
      <c r="AL29" s="88">
        <v>123.994</v>
      </c>
      <c r="AM29" s="88">
        <v>123.40600000000001</v>
      </c>
      <c r="AN29" s="88">
        <v>123.126</v>
      </c>
      <c r="AO29" s="88">
        <v>122.574</v>
      </c>
      <c r="AP29" s="88">
        <v>122.227</v>
      </c>
      <c r="AQ29" s="88">
        <v>122.087</v>
      </c>
      <c r="AR29" s="89">
        <v>121.411</v>
      </c>
      <c r="AS29" s="89">
        <v>121.19799999999999</v>
      </c>
      <c r="AT29" s="89">
        <v>120.563</v>
      </c>
      <c r="AU29" s="88">
        <v>119.601</v>
      </c>
      <c r="AV29" s="88">
        <v>119.99299999999999</v>
      </c>
      <c r="AW29" s="88">
        <v>120.477</v>
      </c>
      <c r="AX29" s="90">
        <v>125.65300000000001</v>
      </c>
      <c r="AY29" s="90">
        <v>125.208</v>
      </c>
      <c r="AZ29" s="90">
        <v>123.523</v>
      </c>
      <c r="BA29" s="91">
        <v>123.32599999999999</v>
      </c>
      <c r="BB29" s="91">
        <v>124.10899999999999</v>
      </c>
      <c r="BC29" s="91">
        <v>122.709</v>
      </c>
      <c r="BD29" s="90">
        <v>121.646</v>
      </c>
      <c r="BE29" s="90">
        <v>121.26</v>
      </c>
      <c r="BF29" s="90">
        <v>120.76900000000001</v>
      </c>
      <c r="BG29" s="90">
        <v>119.69</v>
      </c>
      <c r="BH29" s="90">
        <v>121.247</v>
      </c>
      <c r="BI29" s="90">
        <v>121.157</v>
      </c>
      <c r="BJ29" s="89">
        <v>123.574</v>
      </c>
      <c r="BK29" s="89">
        <v>124.39400000000001</v>
      </c>
      <c r="BL29" s="89">
        <v>123.747</v>
      </c>
      <c r="BM29" s="90">
        <v>122.803</v>
      </c>
      <c r="BN29" s="90">
        <v>123.624</v>
      </c>
      <c r="BO29" s="90">
        <v>122.702</v>
      </c>
      <c r="BP29" s="90">
        <v>118.455</v>
      </c>
      <c r="BQ29" s="90">
        <v>121.07599999999999</v>
      </c>
      <c r="BR29" s="90">
        <v>119.92</v>
      </c>
      <c r="BS29" s="92">
        <f>119733/1000</f>
        <v>119.733</v>
      </c>
      <c r="BT29" s="89">
        <v>119.05500000000001</v>
      </c>
      <c r="BU29" s="93">
        <v>119.01600000000001</v>
      </c>
      <c r="BV29" s="93">
        <v>122.81699999999999</v>
      </c>
      <c r="BW29" s="93">
        <v>122.91800000000001</v>
      </c>
      <c r="BX29" s="93">
        <v>122.10899999999999</v>
      </c>
      <c r="BY29" s="93">
        <v>121.754</v>
      </c>
      <c r="BZ29" s="93">
        <v>121.852</v>
      </c>
      <c r="CA29" s="93">
        <v>121.084</v>
      </c>
      <c r="CB29" s="93">
        <v>120.19499999999999</v>
      </c>
      <c r="CC29" s="93">
        <v>119.46599999999999</v>
      </c>
      <c r="CD29" s="93">
        <v>118.887</v>
      </c>
      <c r="CE29" s="93">
        <v>117.675</v>
      </c>
      <c r="CF29" s="93">
        <v>118.586</v>
      </c>
      <c r="CG29" s="93">
        <v>118.527</v>
      </c>
      <c r="CH29" s="93">
        <v>130.107</v>
      </c>
      <c r="CI29" s="93">
        <v>129.22499999999999</v>
      </c>
      <c r="CJ29" s="93">
        <v>128.98400000000001</v>
      </c>
      <c r="CK29" s="93">
        <v>130.292</v>
      </c>
      <c r="CL29" s="93">
        <v>132.83099999999999</v>
      </c>
      <c r="CM29" s="93">
        <v>134.73400000000001</v>
      </c>
      <c r="CN29" s="93">
        <v>134.63300000000001</v>
      </c>
      <c r="CO29" s="93">
        <v>134.57</v>
      </c>
      <c r="CP29" s="93">
        <v>137.56399999999999</v>
      </c>
      <c r="CQ29" s="93">
        <v>138.12700000000001</v>
      </c>
      <c r="CR29" s="93">
        <v>139.56399999999999</v>
      </c>
      <c r="CS29" s="93">
        <v>140.58699999999999</v>
      </c>
      <c r="CT29" s="93">
        <v>140.99100000000001</v>
      </c>
      <c r="CU29" s="93">
        <v>140.32</v>
      </c>
      <c r="CV29" s="93">
        <v>139.69800000000001</v>
      </c>
      <c r="CW29" s="93">
        <v>137.285</v>
      </c>
      <c r="CX29" s="93">
        <v>136.202</v>
      </c>
      <c r="CY29" s="93">
        <v>136.21899999999999</v>
      </c>
      <c r="CZ29" s="93">
        <v>134.86799999999999</v>
      </c>
      <c r="DA29" s="93">
        <v>133.256</v>
      </c>
      <c r="DB29" s="93">
        <v>133.607</v>
      </c>
      <c r="DC29" s="93">
        <v>131.57499999999999</v>
      </c>
      <c r="DD29" s="93">
        <v>131.11799999999999</v>
      </c>
      <c r="DE29" s="93">
        <v>131.56299999999999</v>
      </c>
      <c r="DF29" s="93">
        <v>138.34899999999999</v>
      </c>
      <c r="DG29" s="93">
        <v>137.97499999999999</v>
      </c>
      <c r="DH29" s="93">
        <v>138.489</v>
      </c>
      <c r="DI29" s="93">
        <v>137.01599999999999</v>
      </c>
      <c r="DJ29" s="93">
        <v>138.52000000000001</v>
      </c>
      <c r="DK29" s="93">
        <v>138.13499999999999</v>
      </c>
      <c r="DL29" s="93">
        <v>135.577</v>
      </c>
      <c r="DM29" s="93">
        <v>135.779</v>
      </c>
      <c r="DN29" s="93">
        <v>136.75299999999999</v>
      </c>
      <c r="DO29" s="88">
        <v>136.38499999999999</v>
      </c>
      <c r="DP29" s="88">
        <v>137.21799999999999</v>
      </c>
      <c r="DQ29" s="88">
        <v>142.79</v>
      </c>
      <c r="DR29" s="88">
        <v>143.101</v>
      </c>
      <c r="DS29" s="88">
        <v>145.78700000000001</v>
      </c>
      <c r="DT29" s="88">
        <v>145.44399999999999</v>
      </c>
      <c r="DU29" s="135">
        <v>146.10300000000001</v>
      </c>
      <c r="DV29" s="135">
        <v>146.708</v>
      </c>
      <c r="DW29" s="135">
        <v>146.81800000000001</v>
      </c>
      <c r="DX29" s="135">
        <v>146.69300000000001</v>
      </c>
      <c r="DY29" s="135">
        <v>146.821</v>
      </c>
      <c r="DZ29" s="135">
        <v>146.66200000000001</v>
      </c>
      <c r="EA29" s="145">
        <v>146.16</v>
      </c>
    </row>
    <row r="30" spans="1:131" s="8" customFormat="1" ht="16" customHeight="1" x14ac:dyDescent="0.25">
      <c r="A30" s="66" t="s">
        <v>23</v>
      </c>
      <c r="B30" s="82">
        <v>270.46974</v>
      </c>
      <c r="C30" s="82">
        <v>270.42851999999999</v>
      </c>
      <c r="D30" s="82">
        <v>270.71276</v>
      </c>
      <c r="E30" s="82">
        <v>270.12599999999998</v>
      </c>
      <c r="F30" s="82">
        <v>271.37729999999999</v>
      </c>
      <c r="G30" s="82">
        <v>269.42076000000003</v>
      </c>
      <c r="H30" s="82">
        <v>270.91800000000001</v>
      </c>
      <c r="I30" s="82">
        <v>267.77699999999999</v>
      </c>
      <c r="J30" s="82">
        <v>267.245</v>
      </c>
      <c r="K30" s="82">
        <v>265.70699999999999</v>
      </c>
      <c r="L30" s="82">
        <v>266.077</v>
      </c>
      <c r="M30" s="82">
        <v>266.767</v>
      </c>
      <c r="N30" s="82">
        <v>264.77999999999997</v>
      </c>
      <c r="O30" s="82">
        <v>264.35000000000002</v>
      </c>
      <c r="P30" s="82">
        <v>263.70999999999998</v>
      </c>
      <c r="Q30" s="82">
        <v>263.65499999999997</v>
      </c>
      <c r="R30" s="82">
        <v>264.471</v>
      </c>
      <c r="S30" s="82">
        <v>261.822</v>
      </c>
      <c r="T30" s="82">
        <v>260.78899999999999</v>
      </c>
      <c r="U30" s="82">
        <v>260.08699999999999</v>
      </c>
      <c r="V30" s="82">
        <v>256.13400000000001</v>
      </c>
      <c r="W30" s="82">
        <v>253.84100000000001</v>
      </c>
      <c r="X30" s="82">
        <v>255.19499999999999</v>
      </c>
      <c r="Y30" s="82">
        <v>255.91900000000001</v>
      </c>
      <c r="Z30" s="82">
        <v>251.876</v>
      </c>
      <c r="AA30" s="82">
        <v>250.83799999999999</v>
      </c>
      <c r="AB30" s="82">
        <v>251.55600000000001</v>
      </c>
      <c r="AC30" s="82">
        <v>249.69800000000001</v>
      </c>
      <c r="AD30" s="82">
        <v>251.01900000000001</v>
      </c>
      <c r="AE30" s="82">
        <v>248.982</v>
      </c>
      <c r="AF30" s="82">
        <v>246.154</v>
      </c>
      <c r="AG30" s="82">
        <v>244.27699999999999</v>
      </c>
      <c r="AH30" s="82">
        <v>243.76900000000001</v>
      </c>
      <c r="AI30" s="82">
        <v>241.71899999999999</v>
      </c>
      <c r="AJ30" s="82">
        <v>243.124</v>
      </c>
      <c r="AK30" s="82">
        <v>243.678</v>
      </c>
      <c r="AL30" s="82">
        <v>242.00299999999999</v>
      </c>
      <c r="AM30" s="82">
        <v>241.93100000000001</v>
      </c>
      <c r="AN30" s="82">
        <v>240.434</v>
      </c>
      <c r="AO30" s="82">
        <v>241</v>
      </c>
      <c r="AP30" s="82">
        <v>240.881</v>
      </c>
      <c r="AQ30" s="82">
        <v>240.262</v>
      </c>
      <c r="AR30" s="83">
        <v>239.56399999999999</v>
      </c>
      <c r="AS30" s="83">
        <v>237.57499999999999</v>
      </c>
      <c r="AT30" s="83">
        <v>236.84899999999999</v>
      </c>
      <c r="AU30" s="82">
        <v>234.74299999999999</v>
      </c>
      <c r="AV30" s="82">
        <v>235.536</v>
      </c>
      <c r="AW30" s="82">
        <v>236.25</v>
      </c>
      <c r="AX30" s="84">
        <v>241.32300000000001</v>
      </c>
      <c r="AY30" s="84">
        <v>242.9</v>
      </c>
      <c r="AZ30" s="84">
        <v>241.185</v>
      </c>
      <c r="BA30" s="85">
        <v>241.62200000000001</v>
      </c>
      <c r="BB30" s="85">
        <v>242.33799999999999</v>
      </c>
      <c r="BC30" s="85">
        <v>240.65299999999999</v>
      </c>
      <c r="BD30" s="84">
        <v>234.50299999999999</v>
      </c>
      <c r="BE30" s="84">
        <v>236.358</v>
      </c>
      <c r="BF30" s="84">
        <v>237.27</v>
      </c>
      <c r="BG30" s="84">
        <v>236.024</v>
      </c>
      <c r="BH30" s="84">
        <v>236.80699999999999</v>
      </c>
      <c r="BI30" s="84">
        <v>238.71899999999999</v>
      </c>
      <c r="BJ30" s="83">
        <v>244.11600000000001</v>
      </c>
      <c r="BK30" s="83">
        <v>243.43199999999999</v>
      </c>
      <c r="BL30" s="83">
        <v>244.291</v>
      </c>
      <c r="BM30" s="84">
        <v>245.02500000000001</v>
      </c>
      <c r="BN30" s="84">
        <v>245.893</v>
      </c>
      <c r="BO30" s="84">
        <v>244.18299999999999</v>
      </c>
      <c r="BP30" s="84">
        <v>239.10900000000001</v>
      </c>
      <c r="BQ30" s="84">
        <v>242.88200000000001</v>
      </c>
      <c r="BR30" s="84">
        <v>240.648</v>
      </c>
      <c r="BS30" s="86">
        <f>241751/1000</f>
        <v>241.751</v>
      </c>
      <c r="BT30" s="83">
        <v>243.452</v>
      </c>
      <c r="BU30" s="87">
        <v>242.79900000000001</v>
      </c>
      <c r="BV30" s="87">
        <v>252.10300000000001</v>
      </c>
      <c r="BW30" s="87">
        <v>251.869</v>
      </c>
      <c r="BX30" s="87">
        <v>252.66200000000001</v>
      </c>
      <c r="BY30" s="87">
        <v>253.34100000000001</v>
      </c>
      <c r="BZ30" s="87">
        <v>254.49799999999999</v>
      </c>
      <c r="CA30" s="87">
        <v>251.52</v>
      </c>
      <c r="CB30" s="87">
        <v>251.64699999999999</v>
      </c>
      <c r="CC30" s="87">
        <v>250.464</v>
      </c>
      <c r="CD30" s="87">
        <v>250.726</v>
      </c>
      <c r="CE30" s="87">
        <v>249.453</v>
      </c>
      <c r="CF30" s="87">
        <v>248.38300000000001</v>
      </c>
      <c r="CG30" s="87">
        <v>249.19300000000001</v>
      </c>
      <c r="CH30" s="87">
        <v>276.87400000000002</v>
      </c>
      <c r="CI30" s="87">
        <v>290.87599999999998</v>
      </c>
      <c r="CJ30" s="87">
        <v>291.77699999999999</v>
      </c>
      <c r="CK30" s="87">
        <v>290.55500000000001</v>
      </c>
      <c r="CL30" s="87">
        <v>290.17599999999999</v>
      </c>
      <c r="CM30" s="87">
        <v>288.30700000000002</v>
      </c>
      <c r="CN30" s="87">
        <v>287.37700000000001</v>
      </c>
      <c r="CO30" s="87">
        <v>285.21800000000002</v>
      </c>
      <c r="CP30" s="87">
        <v>284.27999999999997</v>
      </c>
      <c r="CQ30" s="87">
        <v>282.99799999999999</v>
      </c>
      <c r="CR30" s="87">
        <v>282.76799999999997</v>
      </c>
      <c r="CS30" s="87">
        <v>283.12099999999998</v>
      </c>
      <c r="CT30" s="87">
        <v>280.23599999999999</v>
      </c>
      <c r="CU30" s="87">
        <v>276.82100000000003</v>
      </c>
      <c r="CV30" s="87">
        <v>274.98399999999998</v>
      </c>
      <c r="CW30" s="87">
        <v>271.98700000000002</v>
      </c>
      <c r="CX30" s="87">
        <v>270.28899999999999</v>
      </c>
      <c r="CY30" s="87">
        <v>268.24900000000002</v>
      </c>
      <c r="CZ30" s="87">
        <v>267.07799999999997</v>
      </c>
      <c r="DA30" s="87">
        <v>266.59100000000001</v>
      </c>
      <c r="DB30" s="87">
        <v>264.69</v>
      </c>
      <c r="DC30" s="87">
        <v>258.01900000000001</v>
      </c>
      <c r="DD30" s="87">
        <v>255.89500000000001</v>
      </c>
      <c r="DE30" s="87">
        <v>254.761</v>
      </c>
      <c r="DF30" s="87">
        <v>261.09800000000001</v>
      </c>
      <c r="DG30" s="87">
        <v>261.5</v>
      </c>
      <c r="DH30" s="87">
        <v>259.30399999999997</v>
      </c>
      <c r="DI30" s="87">
        <v>257.899</v>
      </c>
      <c r="DJ30" s="87">
        <v>258.51499999999999</v>
      </c>
      <c r="DK30" s="87">
        <v>259.00700000000001</v>
      </c>
      <c r="DL30" s="87">
        <v>257.78800000000001</v>
      </c>
      <c r="DM30" s="87">
        <v>256.11599999999999</v>
      </c>
      <c r="DN30" s="87">
        <v>254.55199999999999</v>
      </c>
      <c r="DO30" s="82">
        <v>256.76600000000002</v>
      </c>
      <c r="DP30" s="82">
        <v>255.70400000000001</v>
      </c>
      <c r="DQ30" s="82">
        <v>268.964</v>
      </c>
      <c r="DR30" s="82">
        <v>270.637</v>
      </c>
      <c r="DS30" s="82">
        <v>275.31299999999999</v>
      </c>
      <c r="DT30" s="82">
        <v>271.25299999999999</v>
      </c>
      <c r="DU30" s="82">
        <v>271.37</v>
      </c>
      <c r="DV30" s="82">
        <v>272.459</v>
      </c>
      <c r="DW30" s="82">
        <v>273.41399999999999</v>
      </c>
      <c r="DX30" s="82">
        <v>273.851</v>
      </c>
      <c r="DY30" s="82">
        <v>275.07299999999998</v>
      </c>
      <c r="DZ30" s="82">
        <v>276.49799999999999</v>
      </c>
      <c r="EA30" s="144">
        <v>272.27600000000001</v>
      </c>
    </row>
    <row r="31" spans="1:131" s="8" customFormat="1" ht="16" customHeight="1" x14ac:dyDescent="0.25">
      <c r="A31" s="51" t="s">
        <v>24</v>
      </c>
      <c r="B31" s="88">
        <v>114.98868999999999</v>
      </c>
      <c r="C31" s="88">
        <v>114.73502999999999</v>
      </c>
      <c r="D31" s="88">
        <v>114.40512</v>
      </c>
      <c r="E31" s="88">
        <v>114.82375999999999</v>
      </c>
      <c r="F31" s="88">
        <v>115.506</v>
      </c>
      <c r="G31" s="88">
        <v>113.22386999999999</v>
      </c>
      <c r="H31" s="88">
        <v>113.94</v>
      </c>
      <c r="I31" s="88">
        <v>113.377</v>
      </c>
      <c r="J31" s="88">
        <v>114.06</v>
      </c>
      <c r="K31" s="88">
        <v>113.63800000000001</v>
      </c>
      <c r="L31" s="88">
        <v>113.306</v>
      </c>
      <c r="M31" s="88">
        <v>113.324</v>
      </c>
      <c r="N31" s="88">
        <v>112.367</v>
      </c>
      <c r="O31" s="88">
        <v>111.351</v>
      </c>
      <c r="P31" s="88">
        <v>110.815</v>
      </c>
      <c r="Q31" s="88">
        <v>110.81100000000001</v>
      </c>
      <c r="R31" s="88">
        <v>110.542</v>
      </c>
      <c r="S31" s="88">
        <v>109.333</v>
      </c>
      <c r="T31" s="88">
        <v>109.884</v>
      </c>
      <c r="U31" s="88">
        <v>109.211</v>
      </c>
      <c r="V31" s="88">
        <v>108.28700000000001</v>
      </c>
      <c r="W31" s="88">
        <v>107.717</v>
      </c>
      <c r="X31" s="88">
        <v>109.916</v>
      </c>
      <c r="Y31" s="88">
        <v>107.747</v>
      </c>
      <c r="Z31" s="88">
        <v>106.417</v>
      </c>
      <c r="AA31" s="88">
        <v>105.735</v>
      </c>
      <c r="AB31" s="88">
        <v>105.014</v>
      </c>
      <c r="AC31" s="88">
        <v>104.681</v>
      </c>
      <c r="AD31" s="88">
        <v>104.92400000000001</v>
      </c>
      <c r="AE31" s="88">
        <v>104.13200000000001</v>
      </c>
      <c r="AF31" s="88">
        <v>102.663</v>
      </c>
      <c r="AG31" s="88">
        <v>103.02500000000001</v>
      </c>
      <c r="AH31" s="88">
        <v>102.441</v>
      </c>
      <c r="AI31" s="88">
        <v>102.584</v>
      </c>
      <c r="AJ31" s="88">
        <v>103.976</v>
      </c>
      <c r="AK31" s="88">
        <v>103.34</v>
      </c>
      <c r="AL31" s="88">
        <v>102.60299999999999</v>
      </c>
      <c r="AM31" s="88">
        <v>101.973</v>
      </c>
      <c r="AN31" s="88">
        <v>100.914</v>
      </c>
      <c r="AO31" s="88">
        <v>100.011</v>
      </c>
      <c r="AP31" s="88">
        <v>100.196</v>
      </c>
      <c r="AQ31" s="88">
        <v>100.107</v>
      </c>
      <c r="AR31" s="89">
        <v>99.088999999999999</v>
      </c>
      <c r="AS31" s="89">
        <v>98.885000000000005</v>
      </c>
      <c r="AT31" s="89">
        <v>99.587999999999994</v>
      </c>
      <c r="AU31" s="88">
        <v>98.849000000000004</v>
      </c>
      <c r="AV31" s="88">
        <v>100.179</v>
      </c>
      <c r="AW31" s="88">
        <v>99.527000000000001</v>
      </c>
      <c r="AX31" s="90">
        <v>104.431</v>
      </c>
      <c r="AY31" s="90">
        <v>104.30500000000001</v>
      </c>
      <c r="AZ31" s="90">
        <v>103.41800000000001</v>
      </c>
      <c r="BA31" s="91">
        <v>102.428</v>
      </c>
      <c r="BB31" s="91">
        <v>103.10899999999999</v>
      </c>
      <c r="BC31" s="91">
        <v>102.748</v>
      </c>
      <c r="BD31" s="90">
        <v>101.881</v>
      </c>
      <c r="BE31" s="90">
        <v>101.205</v>
      </c>
      <c r="BF31" s="90">
        <v>101.09399999999999</v>
      </c>
      <c r="BG31" s="90">
        <v>100.754</v>
      </c>
      <c r="BH31" s="90">
        <v>101.20699999999999</v>
      </c>
      <c r="BI31" s="90">
        <v>101.667</v>
      </c>
      <c r="BJ31" s="89">
        <v>103.181</v>
      </c>
      <c r="BK31" s="89">
        <v>103.643</v>
      </c>
      <c r="BL31" s="89">
        <v>103.64</v>
      </c>
      <c r="BM31" s="90">
        <v>103.916</v>
      </c>
      <c r="BN31" s="90">
        <v>103.252</v>
      </c>
      <c r="BO31" s="90">
        <v>101.85599999999999</v>
      </c>
      <c r="BP31" s="90">
        <v>99.754000000000005</v>
      </c>
      <c r="BQ31" s="90">
        <v>100.337</v>
      </c>
      <c r="BR31" s="90">
        <v>100.61</v>
      </c>
      <c r="BS31" s="92">
        <f>102178/1000</f>
        <v>102.178</v>
      </c>
      <c r="BT31" s="89">
        <v>104.712</v>
      </c>
      <c r="BU31" s="93">
        <v>103.011</v>
      </c>
      <c r="BV31" s="93">
        <v>106.01600000000001</v>
      </c>
      <c r="BW31" s="93">
        <v>105.711</v>
      </c>
      <c r="BX31" s="93">
        <v>104.621</v>
      </c>
      <c r="BY31" s="93">
        <v>106.196</v>
      </c>
      <c r="BZ31" s="93">
        <v>107.009</v>
      </c>
      <c r="CA31" s="93">
        <v>105.268</v>
      </c>
      <c r="CB31" s="93">
        <v>103.89700000000001</v>
      </c>
      <c r="CC31" s="93">
        <v>103.905</v>
      </c>
      <c r="CD31" s="93">
        <v>104.373</v>
      </c>
      <c r="CE31" s="93">
        <v>102.899</v>
      </c>
      <c r="CF31" s="93">
        <v>105.964</v>
      </c>
      <c r="CG31" s="93">
        <v>105.285</v>
      </c>
      <c r="CH31" s="93">
        <v>120.389</v>
      </c>
      <c r="CI31" s="93">
        <v>123.098</v>
      </c>
      <c r="CJ31" s="93">
        <v>123.48399999999999</v>
      </c>
      <c r="CK31" s="93">
        <v>123.503</v>
      </c>
      <c r="CL31" s="93">
        <v>123.78700000000001</v>
      </c>
      <c r="CM31" s="93">
        <v>125.26300000000001</v>
      </c>
      <c r="CN31" s="93">
        <v>124.09099999999999</v>
      </c>
      <c r="CO31" s="93">
        <v>122.908</v>
      </c>
      <c r="CP31" s="93">
        <v>121.205</v>
      </c>
      <c r="CQ31" s="93">
        <v>120.92</v>
      </c>
      <c r="CR31" s="93">
        <v>119.542</v>
      </c>
      <c r="CS31" s="93">
        <v>118.364</v>
      </c>
      <c r="CT31" s="93">
        <v>116.607</v>
      </c>
      <c r="CU31" s="93">
        <v>116.05200000000001</v>
      </c>
      <c r="CV31" s="93">
        <v>115.07</v>
      </c>
      <c r="CW31" s="93">
        <v>113.89100000000001</v>
      </c>
      <c r="CX31" s="93">
        <v>112.736</v>
      </c>
      <c r="CY31" s="93">
        <v>111.25700000000001</v>
      </c>
      <c r="CZ31" s="93">
        <v>110.10599999999999</v>
      </c>
      <c r="DA31" s="93">
        <v>109.23699999999999</v>
      </c>
      <c r="DB31" s="93">
        <v>108.7</v>
      </c>
      <c r="DC31" s="93">
        <v>108.479</v>
      </c>
      <c r="DD31" s="93">
        <v>106.866</v>
      </c>
      <c r="DE31" s="93">
        <v>105.443</v>
      </c>
      <c r="DF31" s="93">
        <v>111.93300000000001</v>
      </c>
      <c r="DG31" s="93">
        <v>111.093</v>
      </c>
      <c r="DH31" s="93">
        <v>110.363</v>
      </c>
      <c r="DI31" s="93">
        <v>110.46899999999999</v>
      </c>
      <c r="DJ31" s="93">
        <v>110.322</v>
      </c>
      <c r="DK31" s="93">
        <v>111.779</v>
      </c>
      <c r="DL31" s="93">
        <v>111.241</v>
      </c>
      <c r="DM31" s="93">
        <v>109.652</v>
      </c>
      <c r="DN31" s="93">
        <v>109.027</v>
      </c>
      <c r="DO31" s="88">
        <v>109.628</v>
      </c>
      <c r="DP31" s="88">
        <v>110.15300000000001</v>
      </c>
      <c r="DQ31" s="88">
        <v>114.819</v>
      </c>
      <c r="DR31" s="88">
        <v>115.345</v>
      </c>
      <c r="DS31" s="88">
        <v>115.68300000000001</v>
      </c>
      <c r="DT31" s="88">
        <v>115.99</v>
      </c>
      <c r="DU31" s="135">
        <v>115.45099999999999</v>
      </c>
      <c r="DV31" s="135">
        <v>115.86499999999999</v>
      </c>
      <c r="DW31" s="135">
        <v>115.374</v>
      </c>
      <c r="DX31" s="135">
        <v>114.904</v>
      </c>
      <c r="DY31" s="135">
        <v>114.435</v>
      </c>
      <c r="DZ31" s="135">
        <v>115.181</v>
      </c>
      <c r="EA31" s="145">
        <v>113.163</v>
      </c>
    </row>
    <row r="32" spans="1:131" s="8" customFormat="1" ht="16" customHeight="1" x14ac:dyDescent="0.25">
      <c r="A32" s="66" t="s">
        <v>25</v>
      </c>
      <c r="B32" s="82">
        <v>14.112210000000001</v>
      </c>
      <c r="C32" s="82">
        <v>14.09135</v>
      </c>
      <c r="D32" s="82">
        <v>13.773149999999999</v>
      </c>
      <c r="E32" s="82">
        <v>13.553580000000002</v>
      </c>
      <c r="F32" s="82">
        <v>13.576880000000001</v>
      </c>
      <c r="G32" s="82">
        <v>13.427049999999999</v>
      </c>
      <c r="H32" s="82">
        <v>13.195</v>
      </c>
      <c r="I32" s="82">
        <v>13.121</v>
      </c>
      <c r="J32" s="82">
        <v>13.227</v>
      </c>
      <c r="K32" s="82">
        <v>13.058999999999999</v>
      </c>
      <c r="L32" s="82">
        <v>13.127000000000001</v>
      </c>
      <c r="M32" s="82">
        <v>13.239000000000001</v>
      </c>
      <c r="N32" s="82">
        <v>13.154</v>
      </c>
      <c r="O32" s="82">
        <v>12.943</v>
      </c>
      <c r="P32" s="82">
        <v>12.901999999999999</v>
      </c>
      <c r="Q32" s="82">
        <v>12.609</v>
      </c>
      <c r="R32" s="82">
        <v>12.553000000000001</v>
      </c>
      <c r="S32" s="82">
        <v>12.41</v>
      </c>
      <c r="T32" s="82">
        <v>12.419</v>
      </c>
      <c r="U32" s="82">
        <v>12.246</v>
      </c>
      <c r="V32" s="82">
        <v>12.462</v>
      </c>
      <c r="W32" s="82">
        <v>12.340999999999999</v>
      </c>
      <c r="X32" s="82">
        <v>12.33</v>
      </c>
      <c r="Y32" s="82">
        <v>12.262</v>
      </c>
      <c r="Z32" s="82">
        <v>12.355</v>
      </c>
      <c r="AA32" s="82">
        <v>12.406000000000001</v>
      </c>
      <c r="AB32" s="82">
        <v>12.292999999999999</v>
      </c>
      <c r="AC32" s="82">
        <v>12.176</v>
      </c>
      <c r="AD32" s="82">
        <v>11.957000000000001</v>
      </c>
      <c r="AE32" s="82">
        <v>11.811999999999999</v>
      </c>
      <c r="AF32" s="82">
        <v>11.775</v>
      </c>
      <c r="AG32" s="82">
        <v>11.76</v>
      </c>
      <c r="AH32" s="82">
        <v>11.923</v>
      </c>
      <c r="AI32" s="82">
        <v>11.997</v>
      </c>
      <c r="AJ32" s="82">
        <v>12.042999999999999</v>
      </c>
      <c r="AK32" s="82">
        <v>12.164</v>
      </c>
      <c r="AL32" s="82">
        <v>12.175000000000001</v>
      </c>
      <c r="AM32" s="82">
        <v>12.15</v>
      </c>
      <c r="AN32" s="82">
        <v>12.226000000000001</v>
      </c>
      <c r="AO32" s="82">
        <v>12.18</v>
      </c>
      <c r="AP32" s="82">
        <v>12.27</v>
      </c>
      <c r="AQ32" s="82">
        <v>12.035</v>
      </c>
      <c r="AR32" s="83">
        <v>12.151</v>
      </c>
      <c r="AS32" s="83">
        <v>12.292999999999999</v>
      </c>
      <c r="AT32" s="83">
        <v>12.146000000000001</v>
      </c>
      <c r="AU32" s="82">
        <v>12.179</v>
      </c>
      <c r="AV32" s="82">
        <v>12.474</v>
      </c>
      <c r="AW32" s="82">
        <v>12.394</v>
      </c>
      <c r="AX32" s="84">
        <v>12.528</v>
      </c>
      <c r="AY32" s="84">
        <v>12.584</v>
      </c>
      <c r="AZ32" s="84">
        <v>12.54</v>
      </c>
      <c r="BA32" s="85">
        <v>12.425000000000001</v>
      </c>
      <c r="BB32" s="85">
        <v>12.372999999999999</v>
      </c>
      <c r="BC32" s="85">
        <v>12.422000000000001</v>
      </c>
      <c r="BD32" s="84">
        <v>12.116</v>
      </c>
      <c r="BE32" s="84">
        <v>12.065</v>
      </c>
      <c r="BF32" s="84">
        <v>12.14</v>
      </c>
      <c r="BG32" s="84">
        <v>12.170999999999999</v>
      </c>
      <c r="BH32" s="84">
        <v>12.259</v>
      </c>
      <c r="BI32" s="84">
        <v>12.343999999999999</v>
      </c>
      <c r="BJ32" s="83">
        <v>12.628</v>
      </c>
      <c r="BK32" s="83">
        <v>12.635</v>
      </c>
      <c r="BL32" s="83">
        <v>12.77</v>
      </c>
      <c r="BM32" s="84">
        <v>12.840999999999999</v>
      </c>
      <c r="BN32" s="84">
        <v>12.923</v>
      </c>
      <c r="BO32" s="84">
        <v>12.996</v>
      </c>
      <c r="BP32" s="84">
        <v>12.582000000000001</v>
      </c>
      <c r="BQ32" s="84">
        <v>12.667</v>
      </c>
      <c r="BR32" s="84">
        <v>12.677</v>
      </c>
      <c r="BS32" s="86">
        <f>12786/1000</f>
        <v>12.786</v>
      </c>
      <c r="BT32" s="83">
        <v>12.949</v>
      </c>
      <c r="BU32" s="87">
        <v>13.025</v>
      </c>
      <c r="BV32" s="87">
        <v>13.428000000000001</v>
      </c>
      <c r="BW32" s="87">
        <v>13.286</v>
      </c>
      <c r="BX32" s="87">
        <v>13.427</v>
      </c>
      <c r="BY32" s="87">
        <v>13.49</v>
      </c>
      <c r="BZ32" s="87">
        <v>13.461</v>
      </c>
      <c r="CA32" s="87">
        <v>13.515000000000001</v>
      </c>
      <c r="CB32" s="87">
        <v>13.393000000000001</v>
      </c>
      <c r="CC32" s="87">
        <v>13.226000000000001</v>
      </c>
      <c r="CD32" s="87">
        <v>13.239000000000001</v>
      </c>
      <c r="CE32" s="87">
        <v>13.209</v>
      </c>
      <c r="CF32" s="87">
        <v>13.645</v>
      </c>
      <c r="CG32" s="87">
        <v>13.326000000000001</v>
      </c>
      <c r="CH32" s="87">
        <v>14.819000000000001</v>
      </c>
      <c r="CI32" s="87">
        <v>15.016999999999999</v>
      </c>
      <c r="CJ32" s="87">
        <v>15.12</v>
      </c>
      <c r="CK32" s="87">
        <v>15.111000000000001</v>
      </c>
      <c r="CL32" s="87">
        <v>15.432</v>
      </c>
      <c r="CM32" s="87">
        <v>15.515000000000001</v>
      </c>
      <c r="CN32" s="87">
        <v>15.832000000000001</v>
      </c>
      <c r="CO32" s="87">
        <v>15.68</v>
      </c>
      <c r="CP32" s="87">
        <v>15.577</v>
      </c>
      <c r="CQ32" s="87">
        <v>15.585000000000001</v>
      </c>
      <c r="CR32" s="87">
        <v>15.287000000000001</v>
      </c>
      <c r="CS32" s="87">
        <v>15.561</v>
      </c>
      <c r="CT32" s="87">
        <v>15.189</v>
      </c>
      <c r="CU32" s="87">
        <v>14.968</v>
      </c>
      <c r="CV32" s="87">
        <v>15.093999999999999</v>
      </c>
      <c r="CW32" s="87">
        <v>14.974</v>
      </c>
      <c r="CX32" s="87">
        <v>14.752000000000001</v>
      </c>
      <c r="CY32" s="87">
        <v>14.599</v>
      </c>
      <c r="CZ32" s="87">
        <v>14.608000000000001</v>
      </c>
      <c r="DA32" s="87">
        <v>14.558</v>
      </c>
      <c r="DB32" s="87">
        <v>14.579000000000001</v>
      </c>
      <c r="DC32" s="87">
        <v>14.179</v>
      </c>
      <c r="DD32" s="87">
        <v>14.096</v>
      </c>
      <c r="DE32" s="87">
        <v>14.632999999999999</v>
      </c>
      <c r="DF32" s="87">
        <v>14.84</v>
      </c>
      <c r="DG32" s="87">
        <v>14.856999999999999</v>
      </c>
      <c r="DH32" s="87">
        <v>14.958</v>
      </c>
      <c r="DI32" s="87">
        <v>14.983000000000001</v>
      </c>
      <c r="DJ32" s="87">
        <v>14.954000000000001</v>
      </c>
      <c r="DK32" s="87">
        <v>15.000999999999999</v>
      </c>
      <c r="DL32" s="87">
        <v>14.478</v>
      </c>
      <c r="DM32" s="87">
        <v>14.568</v>
      </c>
      <c r="DN32" s="87">
        <v>14.436</v>
      </c>
      <c r="DO32" s="82">
        <v>14.416</v>
      </c>
      <c r="DP32" s="82">
        <v>14.414</v>
      </c>
      <c r="DQ32" s="82">
        <v>14.961</v>
      </c>
      <c r="DR32" s="82">
        <v>15.151999999999999</v>
      </c>
      <c r="DS32" s="82">
        <v>15.534000000000001</v>
      </c>
      <c r="DT32" s="82">
        <v>15.379</v>
      </c>
      <c r="DU32" s="82">
        <v>15.458</v>
      </c>
      <c r="DV32" s="82">
        <v>15.319000000000001</v>
      </c>
      <c r="DW32" s="82">
        <v>15.407</v>
      </c>
      <c r="DX32" s="82">
        <v>15.378</v>
      </c>
      <c r="DY32" s="82">
        <v>15.522</v>
      </c>
      <c r="DZ32" s="82">
        <v>15.194000000000001</v>
      </c>
      <c r="EA32" s="144">
        <v>15.359</v>
      </c>
    </row>
    <row r="33" spans="1:131" s="8" customFormat="1" ht="16" customHeight="1" x14ac:dyDescent="0.25">
      <c r="A33" s="51" t="s">
        <v>26</v>
      </c>
      <c r="B33" s="88">
        <v>173.32811999999998</v>
      </c>
      <c r="C33" s="88">
        <v>172.6112</v>
      </c>
      <c r="D33" s="88">
        <v>173.22807999999998</v>
      </c>
      <c r="E33" s="88">
        <v>172.65611999999999</v>
      </c>
      <c r="F33" s="88">
        <v>173.696</v>
      </c>
      <c r="G33" s="88">
        <v>172.06283999999999</v>
      </c>
      <c r="H33" s="88">
        <v>173.072</v>
      </c>
      <c r="I33" s="88">
        <v>171.25399999999999</v>
      </c>
      <c r="J33" s="88">
        <v>171.03299999999999</v>
      </c>
      <c r="K33" s="88">
        <v>170.66399999999999</v>
      </c>
      <c r="L33" s="88">
        <v>171.74299999999999</v>
      </c>
      <c r="M33" s="88">
        <v>169.666</v>
      </c>
      <c r="N33" s="88">
        <v>169.95099999999999</v>
      </c>
      <c r="O33" s="88">
        <v>170.80500000000001</v>
      </c>
      <c r="P33" s="88">
        <v>170.91399999999999</v>
      </c>
      <c r="Q33" s="88">
        <v>169.191</v>
      </c>
      <c r="R33" s="88">
        <v>169.75899999999999</v>
      </c>
      <c r="S33" s="88">
        <v>167.90600000000001</v>
      </c>
      <c r="T33" s="88">
        <v>167.113</v>
      </c>
      <c r="U33" s="88">
        <v>166.94499999999999</v>
      </c>
      <c r="V33" s="88">
        <v>166.74</v>
      </c>
      <c r="W33" s="88">
        <v>165.78899999999999</v>
      </c>
      <c r="X33" s="88">
        <v>166.34200000000001</v>
      </c>
      <c r="Y33" s="88">
        <v>165.57900000000001</v>
      </c>
      <c r="Z33" s="88">
        <v>162.774</v>
      </c>
      <c r="AA33" s="88">
        <v>162.18700000000001</v>
      </c>
      <c r="AB33" s="88">
        <v>160.34399999999999</v>
      </c>
      <c r="AC33" s="88">
        <v>159.93</v>
      </c>
      <c r="AD33" s="88">
        <v>161.05600000000001</v>
      </c>
      <c r="AE33" s="88">
        <v>160.97900000000001</v>
      </c>
      <c r="AF33" s="88">
        <v>159.22999999999999</v>
      </c>
      <c r="AG33" s="88">
        <v>158.10599999999999</v>
      </c>
      <c r="AH33" s="88">
        <v>157.078</v>
      </c>
      <c r="AI33" s="88">
        <v>156.732</v>
      </c>
      <c r="AJ33" s="88">
        <v>156.64500000000001</v>
      </c>
      <c r="AK33" s="88">
        <v>156.12799999999999</v>
      </c>
      <c r="AL33" s="88">
        <v>155.005</v>
      </c>
      <c r="AM33" s="88">
        <v>154.25899999999999</v>
      </c>
      <c r="AN33" s="88">
        <v>153.22300000000001</v>
      </c>
      <c r="AO33" s="88">
        <v>153.477</v>
      </c>
      <c r="AP33" s="88">
        <v>153.88399999999999</v>
      </c>
      <c r="AQ33" s="88">
        <v>152.71799999999999</v>
      </c>
      <c r="AR33" s="89">
        <v>152.625</v>
      </c>
      <c r="AS33" s="89">
        <v>152.029</v>
      </c>
      <c r="AT33" s="89">
        <v>152.19200000000001</v>
      </c>
      <c r="AU33" s="88">
        <v>152.16800000000001</v>
      </c>
      <c r="AV33" s="88">
        <v>152.732</v>
      </c>
      <c r="AW33" s="88">
        <v>153.435</v>
      </c>
      <c r="AX33" s="90">
        <v>161.25700000000001</v>
      </c>
      <c r="AY33" s="90">
        <v>160.89699999999999</v>
      </c>
      <c r="AZ33" s="90">
        <v>160.60599999999999</v>
      </c>
      <c r="BA33" s="91">
        <v>160.31399999999999</v>
      </c>
      <c r="BB33" s="91">
        <v>160.75399999999999</v>
      </c>
      <c r="BC33" s="91">
        <v>160.178</v>
      </c>
      <c r="BD33" s="90">
        <v>159.26499999999999</v>
      </c>
      <c r="BE33" s="90">
        <v>157.846</v>
      </c>
      <c r="BF33" s="90">
        <v>157.678</v>
      </c>
      <c r="BG33" s="90">
        <v>157.215</v>
      </c>
      <c r="BH33" s="90">
        <v>159.06399999999999</v>
      </c>
      <c r="BI33" s="90">
        <v>158.27199999999999</v>
      </c>
      <c r="BJ33" s="89">
        <v>161.06899999999999</v>
      </c>
      <c r="BK33" s="89">
        <v>160.94900000000001</v>
      </c>
      <c r="BL33" s="89">
        <v>159.95500000000001</v>
      </c>
      <c r="BM33" s="90">
        <v>159.703</v>
      </c>
      <c r="BN33" s="90">
        <v>159.71299999999999</v>
      </c>
      <c r="BO33" s="90">
        <v>158.97300000000001</v>
      </c>
      <c r="BP33" s="90">
        <v>154.87100000000001</v>
      </c>
      <c r="BQ33" s="90">
        <v>157.268</v>
      </c>
      <c r="BR33" s="90">
        <v>153.999</v>
      </c>
      <c r="BS33" s="92">
        <f>155086/1000</f>
        <v>155.08600000000001</v>
      </c>
      <c r="BT33" s="89">
        <v>155.042</v>
      </c>
      <c r="BU33" s="93">
        <v>154.35</v>
      </c>
      <c r="BV33" s="93">
        <v>160.61199999999999</v>
      </c>
      <c r="BW33" s="93">
        <v>160.93299999999999</v>
      </c>
      <c r="BX33" s="93">
        <v>160.95699999999999</v>
      </c>
      <c r="BY33" s="93">
        <v>160.06800000000001</v>
      </c>
      <c r="BZ33" s="93">
        <v>160.34899999999999</v>
      </c>
      <c r="CA33" s="93">
        <v>159.239</v>
      </c>
      <c r="CB33" s="93">
        <v>157.82300000000001</v>
      </c>
      <c r="CC33" s="93">
        <v>157.27000000000001</v>
      </c>
      <c r="CD33" s="93">
        <v>156.48699999999999</v>
      </c>
      <c r="CE33" s="93">
        <v>156.12799999999999</v>
      </c>
      <c r="CF33" s="93">
        <v>156.86699999999999</v>
      </c>
      <c r="CG33" s="93">
        <v>156.12200000000001</v>
      </c>
      <c r="CH33" s="93">
        <v>167.32900000000001</v>
      </c>
      <c r="CI33" s="93">
        <v>168.24700000000001</v>
      </c>
      <c r="CJ33" s="93">
        <v>167.42699999999999</v>
      </c>
      <c r="CK33" s="93">
        <v>167.58</v>
      </c>
      <c r="CL33" s="93">
        <v>168.47300000000001</v>
      </c>
      <c r="CM33" s="93">
        <v>168.52199999999999</v>
      </c>
      <c r="CN33" s="93">
        <v>169.011</v>
      </c>
      <c r="CO33" s="93">
        <v>168.95699999999999</v>
      </c>
      <c r="CP33" s="93">
        <v>168.95599999999999</v>
      </c>
      <c r="CQ33" s="93">
        <v>168.858</v>
      </c>
      <c r="CR33" s="93">
        <v>170.267</v>
      </c>
      <c r="CS33" s="93">
        <v>170.024</v>
      </c>
      <c r="CT33" s="93">
        <v>169.852</v>
      </c>
      <c r="CU33" s="93">
        <v>168.62700000000001</v>
      </c>
      <c r="CV33" s="93">
        <v>167.566</v>
      </c>
      <c r="CW33" s="93">
        <v>166.19200000000001</v>
      </c>
      <c r="CX33" s="93">
        <v>165.28800000000001</v>
      </c>
      <c r="CY33" s="93">
        <v>164.56100000000001</v>
      </c>
      <c r="CZ33" s="93">
        <v>164.63800000000001</v>
      </c>
      <c r="DA33" s="93">
        <v>163.83099999999999</v>
      </c>
      <c r="DB33" s="93">
        <v>161.94900000000001</v>
      </c>
      <c r="DC33" s="93">
        <v>159.84899999999999</v>
      </c>
      <c r="DD33" s="93">
        <v>160.428</v>
      </c>
      <c r="DE33" s="93">
        <v>160.196</v>
      </c>
      <c r="DF33" s="93">
        <v>168.84100000000001</v>
      </c>
      <c r="DG33" s="93">
        <v>168.68199999999999</v>
      </c>
      <c r="DH33" s="93">
        <v>167.36799999999999</v>
      </c>
      <c r="DI33" s="93">
        <v>167.261</v>
      </c>
      <c r="DJ33" s="93">
        <v>167.518</v>
      </c>
      <c r="DK33" s="93">
        <v>167.42</v>
      </c>
      <c r="DL33" s="93">
        <v>165.006</v>
      </c>
      <c r="DM33" s="93">
        <v>164.982</v>
      </c>
      <c r="DN33" s="93">
        <v>164.857</v>
      </c>
      <c r="DO33" s="88">
        <v>166.06</v>
      </c>
      <c r="DP33" s="88">
        <v>166.58699999999999</v>
      </c>
      <c r="DQ33" s="88">
        <v>173.88800000000001</v>
      </c>
      <c r="DR33" s="88">
        <v>175.34399999999999</v>
      </c>
      <c r="DS33" s="88">
        <v>176.75899999999999</v>
      </c>
      <c r="DT33" s="88">
        <v>175.37100000000001</v>
      </c>
      <c r="DU33" s="135">
        <v>175.89099999999999</v>
      </c>
      <c r="DV33" s="135">
        <v>175.364</v>
      </c>
      <c r="DW33" s="135">
        <v>174.95599999999999</v>
      </c>
      <c r="DX33" s="135">
        <v>175.43700000000001</v>
      </c>
      <c r="DY33" s="135">
        <v>175.756</v>
      </c>
      <c r="DZ33" s="135">
        <v>175.36799999999999</v>
      </c>
      <c r="EA33" s="145">
        <v>174.637</v>
      </c>
    </row>
    <row r="34" spans="1:131" s="8" customFormat="1" ht="16" customHeight="1" x14ac:dyDescent="0.25">
      <c r="A34" s="66" t="s">
        <v>27</v>
      </c>
      <c r="B34" s="82">
        <v>420.26049</v>
      </c>
      <c r="C34" s="82">
        <v>419.35720000000003</v>
      </c>
      <c r="D34" s="82">
        <v>418.30624</v>
      </c>
      <c r="E34" s="82">
        <v>419.49882000000002</v>
      </c>
      <c r="F34" s="82">
        <v>421.84427999999997</v>
      </c>
      <c r="G34" s="82">
        <v>423.23462999999998</v>
      </c>
      <c r="H34" s="82">
        <v>422.69400000000002</v>
      </c>
      <c r="I34" s="82">
        <v>419.37200000000001</v>
      </c>
      <c r="J34" s="82">
        <v>418.14</v>
      </c>
      <c r="K34" s="82">
        <v>416.07600000000002</v>
      </c>
      <c r="L34" s="82">
        <v>416.82</v>
      </c>
      <c r="M34" s="82">
        <v>417.30500000000001</v>
      </c>
      <c r="N34" s="82">
        <v>416.536</v>
      </c>
      <c r="O34" s="82">
        <v>413.495</v>
      </c>
      <c r="P34" s="82">
        <v>414.02499999999998</v>
      </c>
      <c r="Q34" s="82">
        <v>413.68099999999998</v>
      </c>
      <c r="R34" s="82">
        <v>412.25200000000001</v>
      </c>
      <c r="S34" s="82">
        <v>410.93400000000003</v>
      </c>
      <c r="T34" s="82">
        <v>409.87799999999999</v>
      </c>
      <c r="U34" s="82">
        <v>406.75400000000002</v>
      </c>
      <c r="V34" s="82">
        <v>405.12799999999999</v>
      </c>
      <c r="W34" s="82">
        <v>402.49099999999999</v>
      </c>
      <c r="X34" s="82">
        <v>404.06200000000001</v>
      </c>
      <c r="Y34" s="82">
        <v>402.87299999999999</v>
      </c>
      <c r="Z34" s="82">
        <v>396.97899999999998</v>
      </c>
      <c r="AA34" s="82">
        <v>396.33499999999998</v>
      </c>
      <c r="AB34" s="82">
        <v>395.46300000000002</v>
      </c>
      <c r="AC34" s="82">
        <v>395.66399999999999</v>
      </c>
      <c r="AD34" s="82">
        <v>393.89800000000002</v>
      </c>
      <c r="AE34" s="82">
        <v>392.20400000000001</v>
      </c>
      <c r="AF34" s="82">
        <v>388.13</v>
      </c>
      <c r="AG34" s="82">
        <v>384.99900000000002</v>
      </c>
      <c r="AH34" s="82">
        <v>384.02199999999999</v>
      </c>
      <c r="AI34" s="82">
        <v>380.5</v>
      </c>
      <c r="AJ34" s="82">
        <v>381.89299999999997</v>
      </c>
      <c r="AK34" s="82">
        <v>381.72300000000001</v>
      </c>
      <c r="AL34" s="82">
        <v>380.12900000000002</v>
      </c>
      <c r="AM34" s="82">
        <v>379.07799999999997</v>
      </c>
      <c r="AN34" s="82">
        <v>378.17200000000003</v>
      </c>
      <c r="AO34" s="82">
        <v>377.85</v>
      </c>
      <c r="AP34" s="82">
        <v>377.27600000000001</v>
      </c>
      <c r="AQ34" s="82">
        <v>375.584</v>
      </c>
      <c r="AR34" s="83">
        <v>373.45100000000002</v>
      </c>
      <c r="AS34" s="83">
        <v>372.20299999999997</v>
      </c>
      <c r="AT34" s="83">
        <v>370.43299999999999</v>
      </c>
      <c r="AU34" s="82">
        <v>368.77</v>
      </c>
      <c r="AV34" s="82">
        <v>369.334</v>
      </c>
      <c r="AW34" s="82">
        <v>370.55099999999999</v>
      </c>
      <c r="AX34" s="84">
        <v>378.25200000000001</v>
      </c>
      <c r="AY34" s="84">
        <v>378.99599999999998</v>
      </c>
      <c r="AZ34" s="84">
        <v>376.834</v>
      </c>
      <c r="BA34" s="85">
        <v>376.68299999999999</v>
      </c>
      <c r="BB34" s="85">
        <v>376.96600000000001</v>
      </c>
      <c r="BC34" s="85">
        <v>375.363</v>
      </c>
      <c r="BD34" s="84">
        <v>372.548</v>
      </c>
      <c r="BE34" s="84">
        <v>369.72899999999998</v>
      </c>
      <c r="BF34" s="84">
        <v>368.54500000000002</v>
      </c>
      <c r="BG34" s="84">
        <v>368.92599999999999</v>
      </c>
      <c r="BH34" s="84">
        <v>370.56799999999998</v>
      </c>
      <c r="BI34" s="84">
        <v>372.435</v>
      </c>
      <c r="BJ34" s="83">
        <v>382.55900000000003</v>
      </c>
      <c r="BK34" s="83">
        <v>381.75900000000001</v>
      </c>
      <c r="BL34" s="83">
        <v>379.858</v>
      </c>
      <c r="BM34" s="84">
        <v>380.767</v>
      </c>
      <c r="BN34" s="84">
        <v>380.65300000000002</v>
      </c>
      <c r="BO34" s="84">
        <v>376.923</v>
      </c>
      <c r="BP34" s="84">
        <v>370.16</v>
      </c>
      <c r="BQ34" s="84">
        <v>374.15800000000002</v>
      </c>
      <c r="BR34" s="84">
        <v>367.67899999999997</v>
      </c>
      <c r="BS34" s="86">
        <f>373241/1000</f>
        <v>373.24099999999999</v>
      </c>
      <c r="BT34" s="83">
        <v>374.63200000000001</v>
      </c>
      <c r="BU34" s="87">
        <v>373.65300000000002</v>
      </c>
      <c r="BV34" s="87">
        <v>384.053</v>
      </c>
      <c r="BW34" s="87">
        <v>382.36099999999999</v>
      </c>
      <c r="BX34" s="87">
        <v>381.178</v>
      </c>
      <c r="BY34" s="87">
        <v>382.94499999999999</v>
      </c>
      <c r="BZ34" s="87">
        <v>383.113</v>
      </c>
      <c r="CA34" s="87">
        <v>381.12200000000001</v>
      </c>
      <c r="CB34" s="87">
        <v>379.35</v>
      </c>
      <c r="CC34" s="87">
        <v>377.53800000000001</v>
      </c>
      <c r="CD34" s="87">
        <v>378.26</v>
      </c>
      <c r="CE34" s="87">
        <v>377.488</v>
      </c>
      <c r="CF34" s="87">
        <v>378.82400000000001</v>
      </c>
      <c r="CG34" s="87">
        <v>381.63499999999999</v>
      </c>
      <c r="CH34" s="87">
        <v>420.53800000000001</v>
      </c>
      <c r="CI34" s="87">
        <v>423.60700000000003</v>
      </c>
      <c r="CJ34" s="87">
        <v>422.97300000000001</v>
      </c>
      <c r="CK34" s="87">
        <v>425.20800000000003</v>
      </c>
      <c r="CL34" s="87">
        <v>425.16199999999998</v>
      </c>
      <c r="CM34" s="87">
        <v>423.51499999999999</v>
      </c>
      <c r="CN34" s="87">
        <v>423.827</v>
      </c>
      <c r="CO34" s="87">
        <v>422.339</v>
      </c>
      <c r="CP34" s="87">
        <v>422.16699999999997</v>
      </c>
      <c r="CQ34" s="87">
        <v>421.37400000000002</v>
      </c>
      <c r="CR34" s="87">
        <v>424.96699999999998</v>
      </c>
      <c r="CS34" s="87">
        <v>426.57</v>
      </c>
      <c r="CT34" s="87">
        <v>425.12400000000002</v>
      </c>
      <c r="CU34" s="87">
        <v>421.84399999999999</v>
      </c>
      <c r="CV34" s="87">
        <v>417.70699999999999</v>
      </c>
      <c r="CW34" s="87">
        <v>416.82</v>
      </c>
      <c r="CX34" s="87">
        <v>413.79399999999998</v>
      </c>
      <c r="CY34" s="87">
        <v>410.863</v>
      </c>
      <c r="CZ34" s="87">
        <v>408.34899999999999</v>
      </c>
      <c r="DA34" s="87">
        <v>405.65899999999999</v>
      </c>
      <c r="DB34" s="87">
        <v>402.64499999999998</v>
      </c>
      <c r="DC34" s="87">
        <v>397.73</v>
      </c>
      <c r="DD34" s="87">
        <v>400.46100000000001</v>
      </c>
      <c r="DE34" s="87">
        <v>406.37900000000002</v>
      </c>
      <c r="DF34" s="87">
        <v>428.11200000000002</v>
      </c>
      <c r="DG34" s="87">
        <v>425.983</v>
      </c>
      <c r="DH34" s="87">
        <v>423.74799999999999</v>
      </c>
      <c r="DI34" s="87">
        <v>425.25599999999997</v>
      </c>
      <c r="DJ34" s="87">
        <v>424.62599999999998</v>
      </c>
      <c r="DK34" s="87">
        <v>424.185</v>
      </c>
      <c r="DL34" s="87">
        <v>416.42099999999999</v>
      </c>
      <c r="DM34" s="87">
        <v>414.62700000000001</v>
      </c>
      <c r="DN34" s="87">
        <v>415.18</v>
      </c>
      <c r="DO34" s="82">
        <v>422.40699999999998</v>
      </c>
      <c r="DP34" s="82">
        <v>423.98500000000001</v>
      </c>
      <c r="DQ34" s="82">
        <v>445.64400000000001</v>
      </c>
      <c r="DR34" s="82">
        <v>444.67899999999997</v>
      </c>
      <c r="DS34" s="82">
        <v>451.721</v>
      </c>
      <c r="DT34" s="82">
        <v>449.68700000000001</v>
      </c>
      <c r="DU34" s="82">
        <v>454.60399999999998</v>
      </c>
      <c r="DV34" s="82">
        <v>451.84</v>
      </c>
      <c r="DW34" s="82">
        <v>451.43099999999998</v>
      </c>
      <c r="DX34" s="82">
        <v>451.73899999999998</v>
      </c>
      <c r="DY34" s="82">
        <v>450.29500000000002</v>
      </c>
      <c r="DZ34" s="82">
        <v>450.60599999999999</v>
      </c>
      <c r="EA34" s="144">
        <v>449.43</v>
      </c>
    </row>
    <row r="35" spans="1:131" s="8" customFormat="1" ht="16" customHeight="1" x14ac:dyDescent="0.25">
      <c r="A35" s="51" t="s">
        <v>28</v>
      </c>
      <c r="B35" s="88">
        <v>89.691559999999996</v>
      </c>
      <c r="C35" s="88">
        <v>89.451120000000003</v>
      </c>
      <c r="D35" s="88">
        <v>89.37191</v>
      </c>
      <c r="E35" s="88">
        <v>89.390479999999997</v>
      </c>
      <c r="F35" s="88">
        <v>89.709479999999999</v>
      </c>
      <c r="G35" s="88">
        <v>89.131900000000002</v>
      </c>
      <c r="H35" s="88">
        <v>89.078999999999994</v>
      </c>
      <c r="I35" s="88">
        <v>88.54</v>
      </c>
      <c r="J35" s="88">
        <v>88.759</v>
      </c>
      <c r="K35" s="88">
        <v>88.587999999999994</v>
      </c>
      <c r="L35" s="88">
        <v>88.94</v>
      </c>
      <c r="M35" s="88">
        <v>87.968000000000004</v>
      </c>
      <c r="N35" s="88">
        <v>88.534999999999997</v>
      </c>
      <c r="O35" s="88">
        <v>87.629000000000005</v>
      </c>
      <c r="P35" s="88">
        <v>87.013000000000005</v>
      </c>
      <c r="Q35" s="88">
        <v>87.22</v>
      </c>
      <c r="R35" s="88">
        <v>86.677000000000007</v>
      </c>
      <c r="S35" s="88">
        <v>85.9</v>
      </c>
      <c r="T35" s="88">
        <v>85.015000000000001</v>
      </c>
      <c r="U35" s="88">
        <v>84.475999999999999</v>
      </c>
      <c r="V35" s="88">
        <v>84.858999999999995</v>
      </c>
      <c r="W35" s="88">
        <v>84.837000000000003</v>
      </c>
      <c r="X35" s="88">
        <v>84.704999999999998</v>
      </c>
      <c r="Y35" s="88">
        <v>83.888000000000005</v>
      </c>
      <c r="Z35" s="88">
        <v>83.753</v>
      </c>
      <c r="AA35" s="88">
        <v>83.256</v>
      </c>
      <c r="AB35" s="88">
        <v>82.584000000000003</v>
      </c>
      <c r="AC35" s="88">
        <v>82.844999999999999</v>
      </c>
      <c r="AD35" s="88">
        <v>82.852999999999994</v>
      </c>
      <c r="AE35" s="88">
        <v>82.563000000000002</v>
      </c>
      <c r="AF35" s="88">
        <v>81.393000000000001</v>
      </c>
      <c r="AG35" s="88">
        <v>81.069000000000003</v>
      </c>
      <c r="AH35" s="88">
        <v>81.013000000000005</v>
      </c>
      <c r="AI35" s="88">
        <v>80.995999999999995</v>
      </c>
      <c r="AJ35" s="88">
        <v>80.924000000000007</v>
      </c>
      <c r="AK35" s="88">
        <v>80.287999999999997</v>
      </c>
      <c r="AL35" s="88">
        <v>80.230999999999995</v>
      </c>
      <c r="AM35" s="88">
        <v>79.872</v>
      </c>
      <c r="AN35" s="88">
        <v>79.344999999999999</v>
      </c>
      <c r="AO35" s="88">
        <v>79.421000000000006</v>
      </c>
      <c r="AP35" s="88">
        <v>79.403999999999996</v>
      </c>
      <c r="AQ35" s="88">
        <v>78.578999999999994</v>
      </c>
      <c r="AR35" s="89">
        <v>77.927999999999997</v>
      </c>
      <c r="AS35" s="89">
        <v>77.134</v>
      </c>
      <c r="AT35" s="89">
        <v>77.251999999999995</v>
      </c>
      <c r="AU35" s="88">
        <v>77.376000000000005</v>
      </c>
      <c r="AV35" s="88">
        <v>77.462000000000003</v>
      </c>
      <c r="AW35" s="88">
        <v>76.754000000000005</v>
      </c>
      <c r="AX35" s="90">
        <v>79.480999999999995</v>
      </c>
      <c r="AY35" s="90">
        <v>79.72</v>
      </c>
      <c r="AZ35" s="90">
        <v>79.230999999999995</v>
      </c>
      <c r="BA35" s="91">
        <v>79.278000000000006</v>
      </c>
      <c r="BB35" s="91">
        <v>79.328999999999994</v>
      </c>
      <c r="BC35" s="91">
        <v>78.641999999999996</v>
      </c>
      <c r="BD35" s="90">
        <v>77.808000000000007</v>
      </c>
      <c r="BE35" s="90">
        <v>77.144000000000005</v>
      </c>
      <c r="BF35" s="90">
        <v>76.954999999999998</v>
      </c>
      <c r="BG35" s="90">
        <v>76.92</v>
      </c>
      <c r="BH35" s="90">
        <v>76.991</v>
      </c>
      <c r="BI35" s="90">
        <v>76.7</v>
      </c>
      <c r="BJ35" s="89">
        <v>78.126999999999995</v>
      </c>
      <c r="BK35" s="89">
        <v>77.893000000000001</v>
      </c>
      <c r="BL35" s="89">
        <v>78.299000000000007</v>
      </c>
      <c r="BM35" s="90">
        <v>78.355000000000004</v>
      </c>
      <c r="BN35" s="90">
        <v>78.659000000000006</v>
      </c>
      <c r="BO35" s="90">
        <v>78.957999999999998</v>
      </c>
      <c r="BP35" s="90">
        <v>77.319000000000003</v>
      </c>
      <c r="BQ35" s="90">
        <v>77.745999999999995</v>
      </c>
      <c r="BR35" s="90">
        <v>77.069999999999993</v>
      </c>
      <c r="BS35" s="92">
        <f>77510/1000</f>
        <v>77.510000000000005</v>
      </c>
      <c r="BT35" s="89">
        <v>77.569999999999993</v>
      </c>
      <c r="BU35" s="93">
        <v>77.200999999999993</v>
      </c>
      <c r="BV35" s="93">
        <v>80.320999999999998</v>
      </c>
      <c r="BW35" s="93">
        <v>80.378</v>
      </c>
      <c r="BX35" s="93">
        <v>80.099000000000004</v>
      </c>
      <c r="BY35" s="93">
        <v>80.129000000000005</v>
      </c>
      <c r="BZ35" s="93">
        <v>80.108000000000004</v>
      </c>
      <c r="CA35" s="93">
        <v>80.114999999999995</v>
      </c>
      <c r="CB35" s="93">
        <v>79.94</v>
      </c>
      <c r="CC35" s="93">
        <v>79.341999999999999</v>
      </c>
      <c r="CD35" s="93">
        <v>79.412000000000006</v>
      </c>
      <c r="CE35" s="93">
        <v>79.581000000000003</v>
      </c>
      <c r="CF35" s="93">
        <v>79.516999999999996</v>
      </c>
      <c r="CG35" s="93">
        <v>79.531000000000006</v>
      </c>
      <c r="CH35" s="93">
        <v>86.515000000000001</v>
      </c>
      <c r="CI35" s="93">
        <v>88.212000000000003</v>
      </c>
      <c r="CJ35" s="93">
        <v>88.582999999999998</v>
      </c>
      <c r="CK35" s="93">
        <v>88.296000000000006</v>
      </c>
      <c r="CL35" s="93">
        <v>89.69</v>
      </c>
      <c r="CM35" s="93">
        <v>88.605999999999995</v>
      </c>
      <c r="CN35" s="93">
        <v>87.882999999999996</v>
      </c>
      <c r="CO35" s="93">
        <v>88.100999999999999</v>
      </c>
      <c r="CP35" s="93">
        <v>87.876000000000005</v>
      </c>
      <c r="CQ35" s="93">
        <v>87.614000000000004</v>
      </c>
      <c r="CR35" s="93">
        <v>87.858000000000004</v>
      </c>
      <c r="CS35" s="93">
        <v>87.745999999999995</v>
      </c>
      <c r="CT35" s="93">
        <v>87.483000000000004</v>
      </c>
      <c r="CU35" s="93">
        <v>87.393000000000001</v>
      </c>
      <c r="CV35" s="93">
        <v>86.403000000000006</v>
      </c>
      <c r="CW35" s="93">
        <v>85.265000000000001</v>
      </c>
      <c r="CX35" s="93">
        <v>85.064999999999998</v>
      </c>
      <c r="CY35" s="93">
        <v>85.198999999999998</v>
      </c>
      <c r="CZ35" s="93">
        <v>85.137</v>
      </c>
      <c r="DA35" s="93">
        <v>84.691000000000003</v>
      </c>
      <c r="DB35" s="93">
        <v>84.06</v>
      </c>
      <c r="DC35" s="93">
        <v>83.799000000000007</v>
      </c>
      <c r="DD35" s="93">
        <v>83.97</v>
      </c>
      <c r="DE35" s="93">
        <v>82.899000000000001</v>
      </c>
      <c r="DF35" s="93">
        <v>86.972999999999999</v>
      </c>
      <c r="DG35" s="93">
        <v>87.07</v>
      </c>
      <c r="DH35" s="93">
        <v>86.793999999999997</v>
      </c>
      <c r="DI35" s="93">
        <v>87.106999999999999</v>
      </c>
      <c r="DJ35" s="93">
        <v>87.674999999999997</v>
      </c>
      <c r="DK35" s="93">
        <v>87.837999999999994</v>
      </c>
      <c r="DL35" s="93">
        <v>84.861999999999995</v>
      </c>
      <c r="DM35" s="93">
        <v>85.825000000000003</v>
      </c>
      <c r="DN35" s="93">
        <v>85.927000000000007</v>
      </c>
      <c r="DO35" s="88">
        <v>86.247</v>
      </c>
      <c r="DP35" s="88">
        <v>86.563999999999993</v>
      </c>
      <c r="DQ35" s="88">
        <v>92.337999999999994</v>
      </c>
      <c r="DR35" s="88">
        <v>94.37</v>
      </c>
      <c r="DS35" s="88">
        <v>96.094999999999999</v>
      </c>
      <c r="DT35" s="88">
        <v>95.477000000000004</v>
      </c>
      <c r="DU35" s="135">
        <v>95.308999999999997</v>
      </c>
      <c r="DV35" s="135">
        <v>95.677000000000007</v>
      </c>
      <c r="DW35" s="135">
        <v>95.674999999999997</v>
      </c>
      <c r="DX35" s="135">
        <v>96.034000000000006</v>
      </c>
      <c r="DY35" s="135">
        <v>95.81</v>
      </c>
      <c r="DZ35" s="135">
        <v>96.016999999999996</v>
      </c>
      <c r="EA35" s="145">
        <v>95.619</v>
      </c>
    </row>
    <row r="36" spans="1:131" s="8" customFormat="1" ht="16" customHeight="1" x14ac:dyDescent="0.25">
      <c r="A36" s="66" t="s">
        <v>29</v>
      </c>
      <c r="B36" s="82">
        <v>192.35686000000001</v>
      </c>
      <c r="C36" s="82">
        <v>192.01485</v>
      </c>
      <c r="D36" s="82">
        <v>191.07816</v>
      </c>
      <c r="E36" s="82">
        <v>191.12450000000001</v>
      </c>
      <c r="F36" s="82">
        <v>191.40120000000002</v>
      </c>
      <c r="G36" s="82">
        <v>189.79839999999999</v>
      </c>
      <c r="H36" s="82">
        <v>190.40700000000001</v>
      </c>
      <c r="I36" s="82">
        <v>190.744</v>
      </c>
      <c r="J36" s="82">
        <v>189.01300000000001</v>
      </c>
      <c r="K36" s="82">
        <v>188.38499999999999</v>
      </c>
      <c r="L36" s="82">
        <v>190.64599999999999</v>
      </c>
      <c r="M36" s="82">
        <v>190.09800000000001</v>
      </c>
      <c r="N36" s="82">
        <v>188.64400000000001</v>
      </c>
      <c r="O36" s="82">
        <v>188.52099999999999</v>
      </c>
      <c r="P36" s="82">
        <v>188.346</v>
      </c>
      <c r="Q36" s="82">
        <v>188.55099999999999</v>
      </c>
      <c r="R36" s="82">
        <v>188.06899999999999</v>
      </c>
      <c r="S36" s="82">
        <v>184.77600000000001</v>
      </c>
      <c r="T36" s="82">
        <v>185.91800000000001</v>
      </c>
      <c r="U36" s="82">
        <v>185.02199999999999</v>
      </c>
      <c r="V36" s="82">
        <v>183.90299999999999</v>
      </c>
      <c r="W36" s="82">
        <v>182.09800000000001</v>
      </c>
      <c r="X36" s="82">
        <v>184.43199999999999</v>
      </c>
      <c r="Y36" s="82">
        <v>181.262</v>
      </c>
      <c r="Z36" s="82">
        <v>177.09299999999999</v>
      </c>
      <c r="AA36" s="82">
        <v>178.47399999999999</v>
      </c>
      <c r="AB36" s="82">
        <v>176.50299999999999</v>
      </c>
      <c r="AC36" s="82">
        <v>176.61699999999999</v>
      </c>
      <c r="AD36" s="82">
        <v>177.238</v>
      </c>
      <c r="AE36" s="82">
        <v>175.08500000000001</v>
      </c>
      <c r="AF36" s="82">
        <v>174.26400000000001</v>
      </c>
      <c r="AG36" s="82">
        <v>172.446</v>
      </c>
      <c r="AH36" s="82">
        <v>172.10900000000001</v>
      </c>
      <c r="AI36" s="82">
        <v>172.20599999999999</v>
      </c>
      <c r="AJ36" s="82">
        <v>172.42699999999999</v>
      </c>
      <c r="AK36" s="82">
        <v>172.917</v>
      </c>
      <c r="AL36" s="82">
        <v>171.196</v>
      </c>
      <c r="AM36" s="82">
        <v>171.70599999999999</v>
      </c>
      <c r="AN36" s="82">
        <v>171.167</v>
      </c>
      <c r="AO36" s="82">
        <v>172.35499999999999</v>
      </c>
      <c r="AP36" s="82">
        <v>172.28700000000001</v>
      </c>
      <c r="AQ36" s="82">
        <v>171.11799999999999</v>
      </c>
      <c r="AR36" s="83">
        <v>171.02799999999999</v>
      </c>
      <c r="AS36" s="83">
        <v>170.1</v>
      </c>
      <c r="AT36" s="83">
        <v>169.38499999999999</v>
      </c>
      <c r="AU36" s="82">
        <v>168.52799999999999</v>
      </c>
      <c r="AV36" s="82">
        <v>167.703</v>
      </c>
      <c r="AW36" s="82">
        <v>168.398</v>
      </c>
      <c r="AX36" s="84">
        <v>168.24</v>
      </c>
      <c r="AY36" s="84">
        <v>168.62</v>
      </c>
      <c r="AZ36" s="84">
        <v>167.41399999999999</v>
      </c>
      <c r="BA36" s="85">
        <v>166.952</v>
      </c>
      <c r="BB36" s="85">
        <v>168.565</v>
      </c>
      <c r="BC36" s="85">
        <v>168.27699999999999</v>
      </c>
      <c r="BD36" s="84">
        <v>168.018</v>
      </c>
      <c r="BE36" s="84">
        <v>167.44800000000001</v>
      </c>
      <c r="BF36" s="84">
        <v>166.233</v>
      </c>
      <c r="BG36" s="84">
        <v>165.441</v>
      </c>
      <c r="BH36" s="84">
        <v>164.30099999999999</v>
      </c>
      <c r="BI36" s="84">
        <v>165.255</v>
      </c>
      <c r="BJ36" s="83">
        <v>167.95</v>
      </c>
      <c r="BK36" s="83">
        <v>169.59399999999999</v>
      </c>
      <c r="BL36" s="83">
        <v>169.934</v>
      </c>
      <c r="BM36" s="84">
        <v>170.12799999999999</v>
      </c>
      <c r="BN36" s="84">
        <v>170.37</v>
      </c>
      <c r="BO36" s="84">
        <v>169.06</v>
      </c>
      <c r="BP36" s="84">
        <v>164.35499999999999</v>
      </c>
      <c r="BQ36" s="84">
        <v>167.45699999999999</v>
      </c>
      <c r="BR36" s="84">
        <v>165.91</v>
      </c>
      <c r="BS36" s="86">
        <f>165619/1000</f>
        <v>165.619</v>
      </c>
      <c r="BT36" s="83">
        <v>164.52500000000001</v>
      </c>
      <c r="BU36" s="87">
        <v>164.30699999999999</v>
      </c>
      <c r="BV36" s="87">
        <v>165.97300000000001</v>
      </c>
      <c r="BW36" s="87">
        <v>166.67699999999999</v>
      </c>
      <c r="BX36" s="87">
        <v>167.083</v>
      </c>
      <c r="BY36" s="87">
        <v>165.77600000000001</v>
      </c>
      <c r="BZ36" s="87">
        <v>165.11799999999999</v>
      </c>
      <c r="CA36" s="87">
        <v>164.648</v>
      </c>
      <c r="CB36" s="87">
        <v>164.08600000000001</v>
      </c>
      <c r="CC36" s="87">
        <v>162.61799999999999</v>
      </c>
      <c r="CD36" s="87">
        <v>161.76900000000001</v>
      </c>
      <c r="CE36" s="87">
        <v>161.42099999999999</v>
      </c>
      <c r="CF36" s="87">
        <v>161.238</v>
      </c>
      <c r="CG36" s="87">
        <v>162.286</v>
      </c>
      <c r="CH36" s="87">
        <v>168.80199999999999</v>
      </c>
      <c r="CI36" s="87">
        <v>170.721</v>
      </c>
      <c r="CJ36" s="87">
        <v>171.465</v>
      </c>
      <c r="CK36" s="87">
        <v>171.441</v>
      </c>
      <c r="CL36" s="87">
        <v>171.428</v>
      </c>
      <c r="CM36" s="87">
        <v>172.33500000000001</v>
      </c>
      <c r="CN36" s="87">
        <v>172.16399999999999</v>
      </c>
      <c r="CO36" s="87">
        <v>172.36099999999999</v>
      </c>
      <c r="CP36" s="87">
        <v>171.62100000000001</v>
      </c>
      <c r="CQ36" s="87">
        <v>171.53700000000001</v>
      </c>
      <c r="CR36" s="87">
        <v>170.07</v>
      </c>
      <c r="CS36" s="87">
        <v>169.77799999999999</v>
      </c>
      <c r="CT36" s="87">
        <v>167.21199999999999</v>
      </c>
      <c r="CU36" s="87">
        <v>168.47900000000001</v>
      </c>
      <c r="CV36" s="87">
        <v>170.51599999999999</v>
      </c>
      <c r="CW36" s="87">
        <v>170.07300000000001</v>
      </c>
      <c r="CX36" s="87">
        <v>169.518</v>
      </c>
      <c r="CY36" s="87">
        <v>168.696</v>
      </c>
      <c r="CZ36" s="87">
        <v>168.13900000000001</v>
      </c>
      <c r="DA36" s="87">
        <v>167.94800000000001</v>
      </c>
      <c r="DB36" s="87">
        <v>168.006</v>
      </c>
      <c r="DC36" s="87">
        <v>166.58600000000001</v>
      </c>
      <c r="DD36" s="87">
        <v>165.197</v>
      </c>
      <c r="DE36" s="87">
        <v>165.73599999999999</v>
      </c>
      <c r="DF36" s="87">
        <v>163.33000000000001</v>
      </c>
      <c r="DG36" s="87">
        <v>164.16</v>
      </c>
      <c r="DH36" s="87">
        <v>165.31100000000001</v>
      </c>
      <c r="DI36" s="87">
        <v>165.43899999999999</v>
      </c>
      <c r="DJ36" s="87">
        <v>165.51</v>
      </c>
      <c r="DK36" s="87">
        <v>166.34200000000001</v>
      </c>
      <c r="DL36" s="87">
        <v>165.73400000000001</v>
      </c>
      <c r="DM36" s="87">
        <v>166.65199999999999</v>
      </c>
      <c r="DN36" s="87">
        <v>165.79</v>
      </c>
      <c r="DO36" s="82">
        <v>165.10499999999999</v>
      </c>
      <c r="DP36" s="82">
        <v>164.38399999999999</v>
      </c>
      <c r="DQ36" s="82">
        <v>163.74299999999999</v>
      </c>
      <c r="DR36" s="82">
        <v>152.83600000000001</v>
      </c>
      <c r="DS36" s="82">
        <v>157.87700000000001</v>
      </c>
      <c r="DT36" s="82">
        <v>158.935</v>
      </c>
      <c r="DU36" s="82">
        <v>163.339</v>
      </c>
      <c r="DV36" s="82">
        <v>166.71299999999999</v>
      </c>
      <c r="DW36" s="82">
        <v>169.8</v>
      </c>
      <c r="DX36" s="82">
        <v>175.54499999999999</v>
      </c>
      <c r="DY36" s="82">
        <v>177.58099999999999</v>
      </c>
      <c r="DZ36" s="82">
        <v>176.03399999999999</v>
      </c>
      <c r="EA36" s="144">
        <v>173.71899999999999</v>
      </c>
    </row>
    <row r="37" spans="1:131" s="8" customFormat="1" ht="16" customHeight="1" thickBot="1" x14ac:dyDescent="0.3">
      <c r="A37" s="77" t="s">
        <v>30</v>
      </c>
      <c r="B37" s="94">
        <v>205.26880000000003</v>
      </c>
      <c r="C37" s="94">
        <v>204.67502999999999</v>
      </c>
      <c r="D37" s="94">
        <v>204.19788</v>
      </c>
      <c r="E37" s="94">
        <v>204.6516</v>
      </c>
      <c r="F37" s="94">
        <v>201.83375999999998</v>
      </c>
      <c r="G37" s="94">
        <v>200.34174999999999</v>
      </c>
      <c r="H37" s="94">
        <v>199.786</v>
      </c>
      <c r="I37" s="94">
        <v>199.16399999999999</v>
      </c>
      <c r="J37" s="94">
        <v>199.084</v>
      </c>
      <c r="K37" s="94">
        <v>199.28100000000001</v>
      </c>
      <c r="L37" s="94">
        <v>200.05099999999999</v>
      </c>
      <c r="M37" s="94">
        <v>200.96700000000001</v>
      </c>
      <c r="N37" s="94">
        <v>201.268</v>
      </c>
      <c r="O37" s="94">
        <v>197.87799999999999</v>
      </c>
      <c r="P37" s="94">
        <v>198.286</v>
      </c>
      <c r="Q37" s="94">
        <v>197.87299999999999</v>
      </c>
      <c r="R37" s="94">
        <v>198.173</v>
      </c>
      <c r="S37" s="94">
        <v>196.90700000000001</v>
      </c>
      <c r="T37" s="94">
        <v>195.018</v>
      </c>
      <c r="U37" s="94">
        <v>194.255</v>
      </c>
      <c r="V37" s="94">
        <v>195.25299999999999</v>
      </c>
      <c r="W37" s="94">
        <v>195.12700000000001</v>
      </c>
      <c r="X37" s="94">
        <v>194.53899999999999</v>
      </c>
      <c r="Y37" s="94">
        <v>194.31200000000001</v>
      </c>
      <c r="Z37" s="94">
        <v>192.11799999999999</v>
      </c>
      <c r="AA37" s="94">
        <v>191.20400000000001</v>
      </c>
      <c r="AB37" s="94">
        <v>188.143</v>
      </c>
      <c r="AC37" s="94">
        <v>189.315</v>
      </c>
      <c r="AD37" s="94">
        <v>188.358</v>
      </c>
      <c r="AE37" s="94">
        <v>187.876</v>
      </c>
      <c r="AF37" s="94">
        <v>186.494</v>
      </c>
      <c r="AG37" s="94">
        <v>185.32</v>
      </c>
      <c r="AH37" s="94">
        <v>185.31</v>
      </c>
      <c r="AI37" s="94">
        <v>184.84800000000001</v>
      </c>
      <c r="AJ37" s="94">
        <v>184.55699999999999</v>
      </c>
      <c r="AK37" s="94">
        <v>185.62200000000001</v>
      </c>
      <c r="AL37" s="94">
        <v>183.78</v>
      </c>
      <c r="AM37" s="94">
        <v>184.60499999999999</v>
      </c>
      <c r="AN37" s="94">
        <v>184.096</v>
      </c>
      <c r="AO37" s="94">
        <v>183.66300000000001</v>
      </c>
      <c r="AP37" s="94">
        <v>184.58199999999999</v>
      </c>
      <c r="AQ37" s="94">
        <v>184.20599999999999</v>
      </c>
      <c r="AR37" s="95">
        <v>183.99199999999999</v>
      </c>
      <c r="AS37" s="95">
        <v>182.21100000000001</v>
      </c>
      <c r="AT37" s="95">
        <v>180.827</v>
      </c>
      <c r="AU37" s="94">
        <v>179.50299999999999</v>
      </c>
      <c r="AV37" s="94">
        <v>180.88300000000001</v>
      </c>
      <c r="AW37" s="94">
        <v>181.67500000000001</v>
      </c>
      <c r="AX37" s="96">
        <v>184.99199999999999</v>
      </c>
      <c r="AY37" s="96">
        <v>185.274</v>
      </c>
      <c r="AZ37" s="96">
        <v>184.36799999999999</v>
      </c>
      <c r="BA37" s="97">
        <v>185.32400000000001</v>
      </c>
      <c r="BB37" s="97">
        <v>186.934</v>
      </c>
      <c r="BC37" s="97">
        <v>184.553</v>
      </c>
      <c r="BD37" s="96">
        <v>182.78</v>
      </c>
      <c r="BE37" s="96">
        <v>181.696</v>
      </c>
      <c r="BF37" s="96">
        <v>180.73599999999999</v>
      </c>
      <c r="BG37" s="96">
        <v>179.583</v>
      </c>
      <c r="BH37" s="96">
        <v>180.70500000000001</v>
      </c>
      <c r="BI37" s="96">
        <v>181.24799999999999</v>
      </c>
      <c r="BJ37" s="98">
        <v>185.083</v>
      </c>
      <c r="BK37" s="98">
        <v>185.345</v>
      </c>
      <c r="BL37" s="98">
        <v>185.58500000000001</v>
      </c>
      <c r="BM37" s="96">
        <v>186.37100000000001</v>
      </c>
      <c r="BN37" s="96">
        <v>186.524</v>
      </c>
      <c r="BO37" s="96">
        <v>186.33199999999999</v>
      </c>
      <c r="BP37" s="96">
        <v>182.51400000000001</v>
      </c>
      <c r="BQ37" s="96">
        <v>184.905</v>
      </c>
      <c r="BR37" s="96">
        <v>183.02099999999999</v>
      </c>
      <c r="BS37" s="99">
        <f>183842/1000</f>
        <v>183.84200000000001</v>
      </c>
      <c r="BT37" s="98">
        <v>185.65299999999999</v>
      </c>
      <c r="BU37" s="100">
        <v>187.446</v>
      </c>
      <c r="BV37" s="100">
        <v>194.78200000000001</v>
      </c>
      <c r="BW37" s="100">
        <v>192.72200000000001</v>
      </c>
      <c r="BX37" s="100">
        <v>192.51400000000001</v>
      </c>
      <c r="BY37" s="100">
        <v>191.98400000000001</v>
      </c>
      <c r="BZ37" s="100">
        <v>192.19499999999999</v>
      </c>
      <c r="CA37" s="100">
        <v>191.86</v>
      </c>
      <c r="CB37" s="100">
        <v>191.34100000000001</v>
      </c>
      <c r="CC37" s="100">
        <v>191.44499999999999</v>
      </c>
      <c r="CD37" s="100">
        <v>191.96</v>
      </c>
      <c r="CE37" s="100">
        <v>190.471</v>
      </c>
      <c r="CF37" s="100">
        <v>191.87200000000001</v>
      </c>
      <c r="CG37" s="100">
        <v>193.40100000000001</v>
      </c>
      <c r="CH37" s="100">
        <v>225.059</v>
      </c>
      <c r="CI37" s="100">
        <v>220.48099999999999</v>
      </c>
      <c r="CJ37" s="100">
        <v>217.113</v>
      </c>
      <c r="CK37" s="100">
        <v>218.73599999999999</v>
      </c>
      <c r="CL37" s="100">
        <v>220.072</v>
      </c>
      <c r="CM37" s="100">
        <v>218.714</v>
      </c>
      <c r="CN37" s="100">
        <v>218.149</v>
      </c>
      <c r="CO37" s="100">
        <v>219.31200000000001</v>
      </c>
      <c r="CP37" s="100">
        <v>219.97</v>
      </c>
      <c r="CQ37" s="100">
        <v>212.29300000000001</v>
      </c>
      <c r="CR37" s="100">
        <v>211.87100000000001</v>
      </c>
      <c r="CS37" s="100">
        <v>212.92099999999999</v>
      </c>
      <c r="CT37" s="100">
        <v>211.11799999999999</v>
      </c>
      <c r="CU37" s="100">
        <v>210.608</v>
      </c>
      <c r="CV37" s="100">
        <v>210.047</v>
      </c>
      <c r="CW37" s="100">
        <v>206.46899999999999</v>
      </c>
      <c r="CX37" s="100">
        <v>205.17099999999999</v>
      </c>
      <c r="CY37" s="100">
        <v>203.31399999999999</v>
      </c>
      <c r="CZ37" s="100">
        <v>201.43600000000001</v>
      </c>
      <c r="DA37" s="100">
        <v>199.72900000000001</v>
      </c>
      <c r="DB37" s="100">
        <v>198.029</v>
      </c>
      <c r="DC37" s="100">
        <v>195.815</v>
      </c>
      <c r="DD37" s="100">
        <v>195.375</v>
      </c>
      <c r="DE37" s="100">
        <v>196.74700000000001</v>
      </c>
      <c r="DF37" s="100">
        <v>205.04900000000001</v>
      </c>
      <c r="DG37" s="100">
        <v>204.898</v>
      </c>
      <c r="DH37" s="100">
        <v>205.13900000000001</v>
      </c>
      <c r="DI37" s="100">
        <v>204.923</v>
      </c>
      <c r="DJ37" s="100">
        <v>205.75399999999999</v>
      </c>
      <c r="DK37" s="100">
        <v>205.44399999999999</v>
      </c>
      <c r="DL37" s="100">
        <v>203.87799999999999</v>
      </c>
      <c r="DM37" s="100">
        <v>203.959</v>
      </c>
      <c r="DN37" s="100">
        <v>204.702</v>
      </c>
      <c r="DO37" s="131">
        <v>207.524</v>
      </c>
      <c r="DP37" s="131">
        <v>207.39500000000001</v>
      </c>
      <c r="DQ37" s="131">
        <v>220.06899999999999</v>
      </c>
      <c r="DR37" s="131">
        <v>219.75399999999999</v>
      </c>
      <c r="DS37" s="131">
        <v>222.631</v>
      </c>
      <c r="DT37" s="131">
        <v>223.816</v>
      </c>
      <c r="DU37" s="136">
        <v>224.917</v>
      </c>
      <c r="DV37" s="136">
        <v>223.21799999999999</v>
      </c>
      <c r="DW37" s="136">
        <v>223.31100000000001</v>
      </c>
      <c r="DX37" s="136">
        <v>223.28200000000001</v>
      </c>
      <c r="DY37" s="136">
        <v>223.52500000000001</v>
      </c>
      <c r="DZ37" s="152">
        <v>224.83500000000001</v>
      </c>
      <c r="EA37" s="146">
        <v>226.113</v>
      </c>
    </row>
    <row r="38" spans="1:131" x14ac:dyDescent="0.25">
      <c r="A38" s="1" t="s">
        <v>121</v>
      </c>
    </row>
    <row r="39" spans="1:131" ht="13" x14ac:dyDescent="0.25">
      <c r="A39" s="6"/>
    </row>
    <row r="41" spans="1:131" x14ac:dyDescent="0.25">
      <c r="A41" s="3"/>
    </row>
    <row r="42" spans="1:131" x14ac:dyDescent="0.25">
      <c r="A42" s="8"/>
    </row>
    <row r="43" spans="1:131" x14ac:dyDescent="0.25">
      <c r="A43" s="8"/>
    </row>
    <row r="46" spans="1:131" ht="17" x14ac:dyDescent="0.35">
      <c r="A46" s="15"/>
    </row>
  </sheetData>
  <sortState xmlns:xlrd2="http://schemas.microsoft.com/office/spreadsheetml/2017/richdata2" ref="A5:BU35">
    <sortCondition ref="A5:A35"/>
  </sortState>
  <hyperlinks>
    <hyperlink ref="DY1" location="Contents!A1" display="Return to Contents" xr:uid="{A23F0CDB-4FE1-4717-9AA8-D8B4E08BB0D5}"/>
  </hyperlinks>
  <pageMargins left="0.7" right="0.7" top="0.75" bottom="0.75" header="0.3" footer="0.3"/>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A39398752</value>
    </field>
    <field name="Objective-Title">
      <value order="0">CTR Recipients Income Forgone Tables Apr 13 to May 22 - FINAL</value>
    </field>
    <field name="Objective-Description">
      <value order="0"/>
    </field>
    <field name="Objective-CreationStamp">
      <value order="0">2022-07-13T14:47:01Z</value>
    </field>
    <field name="Objective-IsApproved">
      <value order="0">false</value>
    </field>
    <field name="Objective-IsPublished">
      <value order="0">true</value>
    </field>
    <field name="Objective-DatePublished">
      <value order="0">2022-07-19T09:20:07Z</value>
    </field>
    <field name="Objective-ModificationStamp">
      <value order="0">2022-07-19T09:20:09Z</value>
    </field>
    <field name="Objective-Owner">
      <value order="0">Chan, Eddie E (U417233)</value>
    </field>
    <field name="Objective-Path">
      <value order="0">Objective Global Folder:SG File Plan:Government, politics and public administration:Local government:Finance - Council tax and non-domestic rates:Research and analysis: Finance - Council tax and non-domestic rates:Evidence Base: Council Tax Reduction (CTR); Monitoring: (2020): 2020-2025</value>
    </field>
    <field name="Objective-Parent">
      <value order="0">Evidence Base: Council Tax Reduction (CTR); Monitoring: (2020): 2020-2025</value>
    </field>
    <field name="Objective-State">
      <value order="0">Published</value>
    </field>
    <field name="Objective-VersionId">
      <value order="0">vA58240979</value>
    </field>
    <field name="Objective-Version">
      <value order="0">1.0</value>
    </field>
    <field name="Objective-VersionNumber">
      <value order="0">1</value>
    </field>
    <field name="Objective-VersionComment">
      <value order="0">First version</value>
    </field>
    <field name="Objective-FileNumber">
      <value order="0">PUBRES/4196</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vt:lpstr>
      <vt:lpstr>Background</vt:lpstr>
      <vt:lpstr>Notes</vt:lpstr>
      <vt:lpstr>1. Local Authority Statistics</vt:lpstr>
      <vt:lpstr>2. Monthly Statistics</vt:lpstr>
      <vt:lpstr>3. Data - Recipients</vt:lpstr>
      <vt:lpstr>4. Data - Income Forgone</vt:lpstr>
      <vt:lpstr>LAs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n413857</dc:creator>
  <cp:lastModifiedBy>u202042</cp:lastModifiedBy>
  <cp:lastPrinted>2014-03-25T15:45:00Z</cp:lastPrinted>
  <dcterms:created xsi:type="dcterms:W3CDTF">2014-02-24T11:36:23Z</dcterms:created>
  <dcterms:modified xsi:type="dcterms:W3CDTF">2024-03-04T14:48:29Z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A39398752</vt:lpwstr>
  </property>
  <property fmtid="{D5CDD505-2E9C-101B-9397-08002B2CF9AE}" pid="4" name="Objective-Title">
    <vt:lpwstr>CTR Recipients Income Forgone Tables Apr 13 to May 22 - FINAL</vt:lpwstr>
  </property>
  <property fmtid="{D5CDD505-2E9C-101B-9397-08002B2CF9AE}" pid="5" name="Objective-Comment">
    <vt:lpwstr/>
  </property>
  <property fmtid="{D5CDD505-2E9C-101B-9397-08002B2CF9AE}" pid="6" name="Objective-CreationStamp">
    <vt:filetime>2022-07-19T09:20:07Z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2022-07-19T09:20:07Z</vt:filetime>
  </property>
  <property fmtid="{D5CDD505-2E9C-101B-9397-08002B2CF9AE}" pid="10" name="Objective-ModificationStamp">
    <vt:filetime>2022-07-19T09:20:09Z</vt:filetime>
  </property>
  <property fmtid="{D5CDD505-2E9C-101B-9397-08002B2CF9AE}" pid="11" name="Objective-Owner">
    <vt:lpwstr>Chan, Eddie E (U417233)</vt:lpwstr>
  </property>
  <property fmtid="{D5CDD505-2E9C-101B-9397-08002B2CF9AE}" pid="12" name="Objective-Path">
    <vt:lpwstr>Objective Global Folder:SG File Plan:Government, politics and public administration:Local government:Finance - Council tax and non-domestic rates:Research and analysis: Finance - Council tax and non-domestic rates:Evidence Base: Council Tax Reduction (CTR</vt:lpwstr>
  </property>
  <property fmtid="{D5CDD505-2E9C-101B-9397-08002B2CF9AE}" pid="13" name="Objective-Parent">
    <vt:lpwstr>Evidence Base: Council Tax Reduction (CTR); Monitoring: (2020): 2020-2025</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vA58240979</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